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C:\Users\asus\Downloads\"/>
    </mc:Choice>
  </mc:AlternateContent>
  <xr:revisionPtr revIDLastSave="0" documentId="8_{93D51FBD-52EC-4302-9A2B-B52335909873}" xr6:coauthVersionLast="47" xr6:coauthVersionMax="47" xr10:uidLastSave="{00000000-0000-0000-0000-000000000000}"/>
  <bookViews>
    <workbookView xWindow="-110" yWindow="-110" windowWidth="19420" windowHeight="1030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81029"/>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<sst xmlns="http://schemas.openxmlformats.org/spreadsheetml/2006/main" count="514" uniqueCount="244">
  <si>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</si>
  <si>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</si>
  <si>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</si>
  <si>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</si>
  <si>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</si>
  <si>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</si>
  <si>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</si>
  <si>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</si>
  <si>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</si>
  <si>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</si>
  <si>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</si>
  <si>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</si>
  <si>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</si>
  <si>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</si>
  <si>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</si>
  <si>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</si>
  <si>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</si>
  <si>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</si>
  <si>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</si>
  <si>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</si>
  <si>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</si>
  <si>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</si>
  <si>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</si>
  <si>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</si>
  <si>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</si>
  <si>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</si>
  <si>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</si>
  <si>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</si>
  <si>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</si>
  <si>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</si>
  <si>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</si>
  <si>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</si>
  <si>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</si>
  <si>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</si>
  <si>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</si>
  <si>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</si>
  <si>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</si>
  <si>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No se evidenció un documento de adopción interna del Modelo Estándar de Control Interno en su última actualización</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</si>
  <si>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</si>
  <si>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</si>
  <si>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</si>
  <si>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</si>
  <si>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</si>
  <si>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</si>
  <si>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</si>
  <si>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</si>
  <si>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</si>
  <si>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</si>
  <si>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</si>
  <si>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</si>
  <si>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</si>
  <si>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</si>
  <si>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</si>
  <si>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</si>
  <si>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</si>
  <si>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</si>
  <si>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</si>
  <si>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</si>
  <si>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</si>
  <si>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</si>
  <si>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</si>
  <si>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No se evidenció que la Entidad realice proceso de desvinculación asistida a los servidores públicos.</t>
  </si>
  <si>
    <t>k</t>
  </si>
  <si>
    <t>Mecanismos de rendición de cuentas a la ciudadanía</t>
  </si>
  <si>
    <t>Amable participa de manera anual y de forma articulada con la administración central, en la audiencia pública de rendición de cuentas donde se presenta información de interés para el público en general. Además, se evidenció que realiza jornadas de rendición de cuentas con la ciudadanía sobre los proyectos en ejecución de manera periódica, información que puede ser consultada en la sección de noticias de la página web institucional: http://www.armeniaamable.gov.co/sala-de-prensa/noticias-y-actualidad</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</si>
  <si>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</si>
  <si>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</si>
  <si>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</si>
  <si>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</si>
  <si>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</si>
  <si>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</si>
  <si>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</si>
  <si>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</si>
  <si>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</si>
  <si>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</si>
  <si>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</si>
  <si>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</si>
  <si>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</si>
  <si>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</si>
  <si>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</si>
  <si>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</si>
  <si>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</si>
  <si>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</si>
  <si>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</si>
  <si>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</si>
  <si>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</si>
  <si>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</si>
  <si>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</si>
  <si>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</si>
  <si>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</si>
  <si>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</si>
  <si>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</si>
  <si>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</si>
  <si>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</si>
  <si>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</si>
  <si>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</si>
  <si>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</si>
  <si>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</si>
  <si>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</si>
  <si>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</si>
  <si>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</si>
  <si>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</si>
  <si>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</si>
  <si>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</si>
  <si>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</si>
  <si>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</si>
  <si>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No se evidenció la existencia de políticas, procedimientos u otros documentos que contengan lineamientos frente al tratamiento de la información con carácter reservado.</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</si>
  <si>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</si>
  <si>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</si>
  <si>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</si>
  <si>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</si>
  <si>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</si>
  <si>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</si>
  <si>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</si>
  <si>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</si>
  <si>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</si>
  <si>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</si>
  <si>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</si>
  <si>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</si>
  <si>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</si>
  <si>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</si>
  <si>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</si>
  <si>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</si>
  <si>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</si>
  <si>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</si>
  <si>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</si>
  <si>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</si>
  <si>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</si>
  <si>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</si>
  <si>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</si>
  <si>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</si>
  <si>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</si>
  <si>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En los seguimientos y auditorías realizadas, se ha identificado que la entidad ha establecido controles en algunos puntos críticos en la Entidad, no obstante, se aclara que no se ha documentado claramente los puntos críticos para Amable.</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</si>
  <si>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</si>
  <si>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</si>
  <si>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</si>
  <si>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</si>
  <si>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</si>
  <si>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</si>
  <si>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</si>
  <si>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</si>
  <si>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</si>
  <si>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</si>
  <si>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</si>
  <si>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</si>
  <si>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</si>
  <si>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</si>
  <si>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</si>
  <si>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</si>
  <si>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</si>
  <si>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</si>
  <si>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</si>
  <si>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</si>
  <si>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</si>
  <si>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</si>
  <si>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</si>
  <si>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</si>
  <si>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</si>
  <si>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</si>
  <si>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</si>
  <si>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</si>
  <si>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</si>
  <si>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</si>
  <si>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</si>
  <si>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</si>
  <si>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</si>
  <si>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</si>
  <si>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</si>
  <si>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</si>
  <si>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</si>
  <si>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</si>
  <si>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</si>
  <si>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</si>
  <si>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</si>
  <si>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</si>
  <si>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</si>
  <si>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</si>
  <si>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</si>
  <si>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</si>
  <si>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</si>
  <si>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</si>
  <si>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</si>
  <si>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</si>
  <si>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</si>
  <si>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</si>
  <si>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</si>
  <si>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</si>
  <si>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</si>
  <si>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</si>
  <si>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</si>
  <si>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</si>
  <si>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</si>
  <si>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</si>
  <si>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</si>
  <si>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</si>
  <si>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</si>
  <si>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</si>
  <si>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</si>
  <si>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</si>
  <si>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</si>
  <si>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</si>
  <si>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</si>
  <si>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</si>
  <si>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</si>
  <si>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</si>
  <si>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</si>
  <si>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</si>
  <si>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</si>
  <si>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</si>
  <si>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</si>
  <si>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</si>
  <si>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</si>
  <si>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</si>
  <si>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</si>
  <si>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</si>
  <si>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</si>
  <si>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</si>
  <si>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</si>
  <si>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</si>
  <si>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</si>
  <si>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</si>
  <si>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correspondientes. se puede evidenciar en las matrices de riesgo de los procesos internos relacionados con administración de sistemas de información y tecnologías de la información, lo anterior teniendo en cuenta los cambios acaecidos frente a la presencia del virus SARS CoV 2 en el país y las restricción en movilidad decretadas por el Gobierno Nacional.</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</si>
  <si>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</si>
  <si>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</si>
  <si>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</si>
  <si>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</si>
  <si>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</si>
  <si>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</si>
  <si>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La Entidad cuenta con un plan de acción coherente con el Plan de Desarrollo Municipal 2020 - 2023, de donde se desprende la ejecución de proyectos propios de la misionalidad del Sistema Estratégico de Transporte Público. Dichos planes pueden ser consultados en la página web institucional http://www.armeniaamable.gov.co/</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</si>
  <si>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periódica, determinando nuevos controles de acuerdo con los cambios en el contexto.</t>
  </si>
  <si>
    <t>Amable cuenta con una matriz de riesgos de corrupción la cual fue actualizada de acuerdo con el procedimiento establecido por el Departamento Administrativo de la Función Pública junto con el Plan Anticorrupción y de Atención al Ciudadano. Dicho mapa de riesgos puede ser consultado accediendo a través del siguiente enlace http://www.armeniaamable.gov.co/transparencia-ley-1712/plan-anticorrupcion-y-atencion-al-ciudadano</t>
  </si>
  <si>
    <t>Debido a que la Entidad solo cuenta con dos empleados públicos no se ha implementado de manera toral las actividades relacionadas al sistema de estímulos establecido en la Ley 909 de 2004, a pesar de esta limitante, la Oficina Asesora de Control Interno sí se ha evidenciado para la vigencia 2022 la realización de algunas actividades relacionadas al bienestar social como procesos de inducción a contratistas, celebración de fechas especiales, pausas activas, además, de la inclusión de los profesionales en jornadas de capacitación relacionados con la Alcaldía del municipio Armenia, Ministerio de Transporte, Ministerio de Hacienda y Crédito Público y Departamento Nacional de Planeación -  DNP.</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</si>
  <si>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 Para el período, se evidenció que los procesos actualizaron sus matrices de riesgo de acuerdo con la metodología incluida en la guía para la administración del riesgo expedida por parte del DAFP, en su versión 5.</t>
  </si>
  <si>
    <t>Durante los seguimientos realizados a la gestión de los riesgos, se identifican oportunidades de mejora frente a cómo controlar los riesgos o los procesos, además, de proponer ajustes si se evidencia su necesidad. No obstante, las matrices de riesgo cuentan con controles y planes de mejoramiento cuando así lo requieren.</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</si>
  <si>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 Por parte de la Oficina de Control Interno, se recomienda fortalecer los procesos de monitoreo y seguimiento a los riesgos.</t>
  </si>
  <si>
    <t>La Entidad cuenta con un Plan Anticorrupción y de Atención al Ciudadano para la vigencia 2022, el cual fue aprobado por el Comité Institucional de Gestión y Desempeño y se encuentra publicado en la página web de la Entidad para la consulta de los interesados:  http://www.armeniaamable.gov.co/transparencia-ley-1712/plan-anticorrupcion-y-atencion-al-ciudadano</t>
  </si>
  <si>
    <t>Se ha evidenciado que el Sistema de Control Interno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 Para la vigencia 2021, el SCI obtuvo una calificación de 67,8 en los resultados FURAG.</t>
  </si>
  <si>
    <t>A pesar que en la Entidad sí se ha tratado el modelo de líneas de defensa, no se ha documentado de forma clara las responsabilidades e integrantes de cada una de estas líneas en la Entidad. En concepto de la oficina de control interno, la implementación del modelo de líneas de defensas se puede ver afectado por el tipo de vinculación de los colaboradores de la entidad, toda vez que la empresa solo cuenta con dos empleados públicos y los demás profesionales son vinculados a través de contratos de prestación de servicios.</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</si>
  <si>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No obstante, se evidencia la necesidad de revisar y actualizar constantemente la información documentada como procedimientos, manuales y formatos. Además, fortalecer lo referente a la gestión del código de integridad e implementación de procedimientos para la gestión de conflictos de intereses</t>
  </si>
  <si>
    <t>Actualmente Amable cuenta con matrices de riesgo por procesos internos y del proyecto Sistema Estratégico de Transporte Público de la ciudad de Armenia, donde se identificaron riesgos y establecideron controles para su tratamiento, no obstante, se recomienda fortalecer las actividades de apropiación de la cultura de gestión del riesgo, así como los seguimiento por parte de planeación institucional y ejecutores de operaciones. Además de esto, se evidencia la necesidad de fortalecer los canales de comunicación de los resultados de la gestión de los riesgos con los procesos de la entidad.
Por su parte, la Entidad realizó la actualización de las matrices de riesgo institucional acorde con la Guía de Administración del Riesgo en su versión 5, expedida por el Departamento Administrativo de la Función Pública. Se recomienda realizar actividades de monitoreo y evaluación constantes a la gestión del riesgo institucional.</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</si>
  <si>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recomienda a la entidad fortalecer y ampliar los canales de comunicación tanto con la ciudadanía como internamente, lo anterior, teniendo en cuenta la importancia de los procesos virtuales actualmente.</t>
  </si>
  <si>
    <t>Se ha evidenciado que la Entidad ha realizado un esfuerzo importante en lo que respecta a la implementación del Modelo Integrado de Planeación y Gestión - MIPG obteniendo para la vigencia 2021  66,4 y ubicándose por encima de la media nacional para entidades territoriales,  a la vez que fortalece la  implementación del Modelo Estándar de Control Interno inmerso en la séptima dimensión de este Modelo. Por su parte, se identificó que el Comité Institucional de Coordinación de Control Interno ha operado en la vigencia evaluada acorde con el acto administrativo de su conformación, logrando cierto grado de armonización de los requisitos ligados a los componentes del Sistema de Control Interno con la alta dirección de la Entidad, evidenciando, además, compromiso por parte de la misma. En general, se continúa con la recomendación de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Además de esto, se identificó que la Entidad realizó durante el período evaluado la actualización de  las matrices de riesgo institucionales de acuerdo con la nueva guía de administración del riesgo en su versión 5, expedida por el Departamento Administrativo de la Función Pública, en cuanto a esta actividad, se recomienda continuar con el monitoreo de los riesgos y sus controles.</t>
  </si>
  <si>
    <t xml:space="preserve">30 DE JUNIO DE 2022 AL  01 31 DICIEMBRE DE 2022 </t>
  </si>
  <si>
    <t>Se evidenció que la Entidad cuenta con un Programa Anual de Auditoría basada en riesgos,  el cual fue revisado y aprobado por el Comité Institucional de Coordinación de Control Interno en enero de 2022, además, durante el segundo semestre se han  ejecutado las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</si>
</sst>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0" x14ac:knownFonts="1">
    <font>
      <sz val="11"/>
      <color theme="1"/>
      <name val="Calibri"/>
      <family val="2"/>
      <scheme val="minor"/>
    </font>
    <font>
      <sz val="12"/>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4" fillId="0" borderId="0" applyFont="0" applyFill="0" applyBorder="0" applyAlignment="0" applyProtection="0"/>
    <xf numFmtId="0" fontId="22" fillId="0" borderId="0"/>
    <xf numFmtId="0" fontId="30" fillId="0" borderId="0"/>
    <xf numFmtId="0" fontId="34" fillId="0" borderId="0"/>
  </cellStyleXfs>
  <cellXfs count="323">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8" fillId="4" borderId="0" xfId="0" applyFont="1" applyFill="1" applyAlignment="1">
      <alignment horizontal="center"/>
    </xf>
    <xf numFmtId="0" fontId="0" fillId="4" borderId="21" xfId="0" applyFill="1" applyBorder="1"/>
    <xf numFmtId="164" fontId="8" fillId="4" borderId="0" xfId="0" applyNumberFormat="1" applyFont="1" applyFill="1" applyAlignment="1">
      <alignment horizontal="center"/>
    </xf>
    <xf numFmtId="0" fontId="9" fillId="4" borderId="0" xfId="0" applyFont="1" applyFill="1" applyAlignment="1">
      <alignment vertical="center"/>
    </xf>
    <xf numFmtId="0" fontId="11" fillId="4" borderId="0" xfId="0" applyFont="1" applyFill="1" applyAlignment="1">
      <alignment horizontal="center" vertical="center"/>
    </xf>
    <xf numFmtId="0" fontId="12" fillId="4" borderId="0" xfId="0" applyFont="1" applyFill="1"/>
    <xf numFmtId="0" fontId="10" fillId="4" borderId="0" xfId="0" applyFont="1" applyFill="1" applyAlignment="1">
      <alignment horizontal="center" vertical="center"/>
    </xf>
    <xf numFmtId="0" fontId="3" fillId="4" borderId="30" xfId="0" applyFont="1" applyFill="1" applyBorder="1" applyAlignment="1">
      <alignment horizontal="center" vertical="center"/>
    </xf>
    <xf numFmtId="0" fontId="3" fillId="4" borderId="0" xfId="0" applyFont="1" applyFill="1" applyAlignment="1">
      <alignment horizontal="center" vertical="center"/>
    </xf>
    <xf numFmtId="0" fontId="13" fillId="4" borderId="0" xfId="0" applyFont="1" applyFill="1" applyAlignment="1">
      <alignment wrapText="1"/>
    </xf>
    <xf numFmtId="0" fontId="14" fillId="4" borderId="0" xfId="0" applyFont="1" applyFill="1" applyAlignment="1">
      <alignment wrapText="1"/>
    </xf>
    <xf numFmtId="0" fontId="6" fillId="0" borderId="0" xfId="0" applyFont="1" applyAlignment="1">
      <alignment vertical="center"/>
    </xf>
    <xf numFmtId="9" fontId="3" fillId="0" borderId="0" xfId="0" applyNumberFormat="1" applyFont="1" applyAlignment="1">
      <alignment vertical="center"/>
    </xf>
    <xf numFmtId="0" fontId="3" fillId="4" borderId="21" xfId="0" applyFont="1" applyFill="1" applyBorder="1" applyAlignment="1">
      <alignment vertical="center"/>
    </xf>
    <xf numFmtId="0" fontId="3" fillId="4" borderId="0" xfId="0" applyFont="1" applyFill="1" applyAlignment="1">
      <alignment vertical="center"/>
    </xf>
    <xf numFmtId="0" fontId="0" fillId="0" borderId="3" xfId="0" applyBorder="1"/>
    <xf numFmtId="0" fontId="6" fillId="4" borderId="0" xfId="0" applyFont="1" applyFill="1" applyAlignment="1">
      <alignment vertical="center"/>
    </xf>
    <xf numFmtId="0" fontId="3" fillId="4" borderId="0" xfId="0" applyFont="1" applyFill="1" applyAlignment="1">
      <alignment horizontal="left" vertical="center"/>
    </xf>
    <xf numFmtId="0" fontId="16" fillId="4" borderId="0" xfId="0" applyFont="1" applyFill="1" applyAlignment="1">
      <alignment vertical="center"/>
    </xf>
    <xf numFmtId="0" fontId="17" fillId="4" borderId="0" xfId="0" applyFont="1" applyFill="1"/>
    <xf numFmtId="0" fontId="0" fillId="4" borderId="34" xfId="0" applyFill="1" applyBorder="1"/>
    <xf numFmtId="0" fontId="0" fillId="4" borderId="35" xfId="0" applyFill="1" applyBorder="1"/>
    <xf numFmtId="0" fontId="0" fillId="4" borderId="36" xfId="0" applyFill="1" applyBorder="1"/>
    <xf numFmtId="0" fontId="21" fillId="0" borderId="0" xfId="0" applyFont="1" applyAlignment="1">
      <alignment horizontal="center" wrapText="1"/>
    </xf>
    <xf numFmtId="0" fontId="6" fillId="4" borderId="0" xfId="0" applyFont="1" applyFill="1" applyAlignment="1">
      <alignment horizontal="center" vertical="center" wrapText="1"/>
    </xf>
    <xf numFmtId="0" fontId="5" fillId="4" borderId="0" xfId="0" applyFont="1" applyFill="1"/>
    <xf numFmtId="0" fontId="6" fillId="4" borderId="0" xfId="0" applyFont="1" applyFill="1" applyAlignment="1">
      <alignment horizontal="left" vertical="center"/>
    </xf>
    <xf numFmtId="9" fontId="6" fillId="4" borderId="0" xfId="0" applyNumberFormat="1" applyFont="1" applyFill="1" applyAlignment="1">
      <alignment horizontal="center" vertical="center"/>
    </xf>
    <xf numFmtId="0" fontId="5" fillId="4" borderId="0" xfId="0" applyFont="1" applyFill="1" applyAlignment="1">
      <alignment horizontal="left"/>
    </xf>
    <xf numFmtId="0" fontId="23" fillId="0" borderId="0" xfId="2" applyFont="1" applyAlignment="1" applyProtection="1">
      <alignment vertical="center"/>
      <protection locked="0"/>
    </xf>
    <xf numFmtId="49" fontId="25" fillId="4" borderId="0" xfId="2" applyNumberFormat="1" applyFont="1" applyFill="1" applyAlignment="1" applyProtection="1">
      <alignment vertical="center"/>
      <protection locked="0"/>
    </xf>
    <xf numFmtId="0" fontId="25" fillId="4" borderId="0" xfId="2" applyFont="1" applyFill="1" applyAlignment="1" applyProtection="1">
      <alignment vertical="center"/>
      <protection locked="0"/>
    </xf>
    <xf numFmtId="9" fontId="27" fillId="4" borderId="0" xfId="2" applyNumberFormat="1" applyFont="1" applyFill="1" applyAlignment="1" applyProtection="1">
      <alignment vertical="center"/>
      <protection locked="0"/>
    </xf>
    <xf numFmtId="9" fontId="23" fillId="4" borderId="0" xfId="1" applyFont="1" applyFill="1" applyAlignment="1" applyProtection="1">
      <alignment vertical="center"/>
      <protection locked="0"/>
    </xf>
    <xf numFmtId="9" fontId="23" fillId="4" borderId="0" xfId="2" applyNumberFormat="1" applyFont="1" applyFill="1" applyAlignment="1" applyProtection="1">
      <alignment vertical="center"/>
      <protection locked="0"/>
    </xf>
    <xf numFmtId="0" fontId="27" fillId="4" borderId="0" xfId="2" applyFont="1" applyFill="1" applyAlignment="1" applyProtection="1">
      <alignment vertical="center"/>
      <protection locked="0"/>
    </xf>
    <xf numFmtId="0" fontId="27" fillId="0" borderId="0" xfId="3" applyFont="1"/>
    <xf numFmtId="0" fontId="8" fillId="4" borderId="0" xfId="0" applyFont="1" applyFill="1"/>
    <xf numFmtId="0" fontId="8" fillId="0" borderId="0" xfId="0" applyFont="1"/>
    <xf numFmtId="0" fontId="37" fillId="0" borderId="0" xfId="0" applyFont="1" applyAlignment="1">
      <alignment vertical="top"/>
    </xf>
    <xf numFmtId="49" fontId="37" fillId="0" borderId="0" xfId="0" applyNumberFormat="1" applyFont="1" applyAlignment="1">
      <alignment horizontal="center" vertical="top"/>
    </xf>
    <xf numFmtId="0" fontId="23" fillId="4" borderId="0" xfId="2" applyFont="1" applyFill="1" applyAlignment="1" applyProtection="1">
      <alignment vertical="center"/>
      <protection locked="0"/>
    </xf>
    <xf numFmtId="0" fontId="27" fillId="4" borderId="0" xfId="3" applyFont="1" applyFill="1"/>
    <xf numFmtId="0" fontId="27" fillId="4" borderId="59" xfId="3" applyFont="1" applyFill="1" applyBorder="1" applyAlignment="1">
      <alignment vertical="top" wrapText="1"/>
    </xf>
    <xf numFmtId="0" fontId="27" fillId="4" borderId="0" xfId="3" applyFont="1" applyFill="1" applyAlignment="1">
      <alignment vertical="top" wrapText="1"/>
    </xf>
    <xf numFmtId="0" fontId="27" fillId="4" borderId="60" xfId="3" applyFont="1" applyFill="1" applyBorder="1" applyAlignment="1">
      <alignment vertical="top" wrapText="1"/>
    </xf>
    <xf numFmtId="0" fontId="27" fillId="4" borderId="59" xfId="3" applyFont="1" applyFill="1" applyBorder="1" applyAlignment="1">
      <alignment horizontal="left" vertical="top"/>
    </xf>
    <xf numFmtId="0" fontId="27" fillId="4" borderId="60" xfId="3" applyFont="1" applyFill="1" applyBorder="1" applyAlignment="1">
      <alignment horizontal="left" vertical="top"/>
    </xf>
    <xf numFmtId="0" fontId="27" fillId="4" borderId="59" xfId="3" applyFont="1" applyFill="1" applyBorder="1"/>
    <xf numFmtId="0" fontId="35" fillId="4" borderId="0" xfId="4" applyFont="1" applyFill="1" applyAlignment="1">
      <alignment horizontal="left" vertical="top" wrapText="1" readingOrder="1"/>
    </xf>
    <xf numFmtId="0" fontId="27" fillId="4" borderId="60" xfId="3" applyFont="1" applyFill="1" applyBorder="1"/>
    <xf numFmtId="0" fontId="27" fillId="4" borderId="72" xfId="3" applyFont="1" applyFill="1" applyBorder="1"/>
    <xf numFmtId="0" fontId="27" fillId="4" borderId="73" xfId="3" applyFont="1" applyFill="1" applyBorder="1"/>
    <xf numFmtId="0" fontId="27" fillId="4" borderId="74" xfId="3" applyFont="1" applyFill="1" applyBorder="1"/>
    <xf numFmtId="0" fontId="35" fillId="4" borderId="0" xfId="0" applyFont="1" applyFill="1" applyAlignment="1">
      <alignment horizontal="left" vertical="center" wrapText="1"/>
    </xf>
    <xf numFmtId="0" fontId="36" fillId="4" borderId="0" xfId="0" applyFont="1" applyFill="1" applyAlignment="1">
      <alignment horizontal="left" vertical="top" wrapText="1"/>
    </xf>
    <xf numFmtId="0" fontId="27" fillId="4" borderId="0" xfId="3" quotePrefix="1" applyFont="1" applyFill="1" applyAlignment="1">
      <alignment horizontal="left" vertical="center" wrapText="1"/>
    </xf>
    <xf numFmtId="0" fontId="33" fillId="4" borderId="0" xfId="3" applyFont="1" applyFill="1" applyAlignment="1">
      <alignment horizontal="left" vertical="center" wrapText="1"/>
    </xf>
    <xf numFmtId="0" fontId="27" fillId="4" borderId="0" xfId="3"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vertical="center"/>
    </xf>
    <xf numFmtId="0" fontId="9" fillId="4" borderId="0" xfId="0" applyFont="1" applyFill="1"/>
    <xf numFmtId="0" fontId="9" fillId="0" borderId="0" xfId="0" applyFont="1" applyAlignment="1">
      <alignment vertical="top"/>
    </xf>
    <xf numFmtId="0" fontId="9" fillId="0" borderId="0" xfId="0" applyFont="1"/>
    <xf numFmtId="0" fontId="45" fillId="9" borderId="11" xfId="0" applyFont="1" applyFill="1" applyBorder="1" applyAlignment="1">
      <alignment horizontal="center" vertical="top" wrapText="1"/>
    </xf>
    <xf numFmtId="49" fontId="46" fillId="5" borderId="7" xfId="0" applyNumberFormat="1" applyFont="1" applyFill="1" applyBorder="1" applyAlignment="1">
      <alignment horizontal="center" vertical="center" wrapText="1"/>
    </xf>
    <xf numFmtId="0" fontId="46" fillId="5" borderId="7"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2" xfId="0" applyFont="1" applyBorder="1" applyAlignment="1">
      <alignment horizontal="left" vertical="center" wrapText="1"/>
    </xf>
    <xf numFmtId="0" fontId="47" fillId="0" borderId="3" xfId="0" applyFont="1" applyBorder="1" applyAlignment="1">
      <alignment horizontal="center" vertical="center" wrapText="1"/>
    </xf>
    <xf numFmtId="0" fontId="48" fillId="0" borderId="3" xfId="0" applyFont="1" applyBorder="1" applyAlignment="1">
      <alignment horizontal="left" vertical="center" wrapText="1"/>
    </xf>
    <xf numFmtId="0" fontId="47" fillId="0" borderId="3" xfId="0" applyFont="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10" fillId="13" borderId="3" xfId="0" applyFont="1" applyFill="1" applyBorder="1" applyAlignment="1">
      <alignment horizontal="center" vertical="center" wrapText="1"/>
    </xf>
    <xf numFmtId="0" fontId="51" fillId="0" borderId="0" xfId="0" applyFont="1" applyAlignment="1">
      <alignment horizontal="center" wrapText="1"/>
    </xf>
    <xf numFmtId="0" fontId="10" fillId="1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52" fillId="2" borderId="3" xfId="0" applyFont="1" applyFill="1" applyBorder="1" applyAlignment="1">
      <alignment horizontal="center" vertical="center"/>
    </xf>
    <xf numFmtId="0" fontId="43" fillId="0" borderId="3" xfId="0" applyFont="1" applyBorder="1" applyAlignment="1">
      <alignment horizontal="center" vertical="center"/>
    </xf>
    <xf numFmtId="0" fontId="54" fillId="0" borderId="0" xfId="0" applyFont="1" applyAlignment="1">
      <alignment horizontal="center"/>
    </xf>
    <xf numFmtId="0" fontId="53" fillId="12" borderId="31" xfId="0" applyFont="1" applyFill="1" applyBorder="1" applyAlignment="1">
      <alignment horizontal="center" vertical="center" wrapText="1"/>
    </xf>
    <xf numFmtId="0" fontId="43" fillId="0" borderId="0" xfId="0" applyFont="1" applyAlignment="1">
      <alignment horizontal="center" vertical="center" wrapText="1"/>
    </xf>
    <xf numFmtId="0" fontId="26" fillId="4" borderId="0" xfId="2" applyFont="1" applyFill="1" applyAlignment="1">
      <alignment vertical="center" wrapText="1"/>
    </xf>
    <xf numFmtId="0" fontId="36" fillId="4" borderId="0" xfId="2" applyFont="1" applyFill="1" applyAlignment="1">
      <alignment vertical="center" wrapText="1"/>
    </xf>
    <xf numFmtId="0" fontId="37" fillId="0" borderId="0" xfId="0" applyFont="1" applyAlignment="1" applyProtection="1">
      <alignment horizontal="center" vertical="top"/>
      <protection hidden="1"/>
    </xf>
    <xf numFmtId="0" fontId="39" fillId="0" borderId="79" xfId="0" applyFont="1" applyBorder="1" applyAlignment="1" applyProtection="1">
      <alignment horizontal="center" vertical="center" wrapText="1"/>
      <protection hidden="1"/>
    </xf>
    <xf numFmtId="0" fontId="9" fillId="0" borderId="0" xfId="0" applyFont="1" applyAlignment="1" applyProtection="1">
      <alignment horizontal="center" vertical="top"/>
      <protection hidden="1"/>
    </xf>
    <xf numFmtId="0" fontId="40" fillId="0" borderId="9" xfId="0" applyFont="1" applyBorder="1" applyAlignment="1" applyProtection="1">
      <alignment horizontal="center" vertical="center" wrapText="1"/>
      <protection hidden="1"/>
    </xf>
    <xf numFmtId="49" fontId="9" fillId="0" borderId="0" xfId="0" applyNumberFormat="1"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0" fontId="39" fillId="0" borderId="80" xfId="0" applyFont="1" applyBorder="1" applyAlignment="1" applyProtection="1">
      <alignment horizontal="center" vertical="center" wrapText="1"/>
      <protection hidden="1"/>
    </xf>
    <xf numFmtId="0" fontId="9" fillId="0" borderId="0" xfId="0" applyFont="1" applyAlignment="1" applyProtection="1">
      <alignment vertical="top"/>
      <protection hidden="1"/>
    </xf>
    <xf numFmtId="0" fontId="44" fillId="0" borderId="2" xfId="0" applyFont="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20" fillId="2" borderId="82" xfId="2" applyFont="1" applyFill="1" applyBorder="1" applyAlignment="1">
      <alignment horizontal="center" vertical="center"/>
    </xf>
    <xf numFmtId="0" fontId="20" fillId="2" borderId="82" xfId="2" applyFont="1" applyFill="1" applyBorder="1" applyAlignment="1">
      <alignment horizontal="center" vertical="center" wrapText="1"/>
    </xf>
    <xf numFmtId="0" fontId="2"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1" fillId="0" borderId="84" xfId="0" applyFont="1" applyBorder="1" applyAlignment="1" applyProtection="1">
      <alignment vertical="center" wrapText="1"/>
      <protection hidden="1"/>
    </xf>
    <xf numFmtId="0" fontId="2"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1" fillId="0" borderId="85" xfId="0" applyFont="1" applyBorder="1" applyAlignment="1" applyProtection="1">
      <alignment vertical="center" wrapText="1"/>
      <protection hidden="1"/>
    </xf>
    <xf numFmtId="0" fontId="2"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1" fillId="0" borderId="86" xfId="0" applyFont="1" applyBorder="1" applyAlignment="1" applyProtection="1">
      <alignment vertical="center" wrapText="1"/>
      <protection hidden="1"/>
    </xf>
    <xf numFmtId="0" fontId="2"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1" fillId="0" borderId="5" xfId="0" applyFont="1" applyBorder="1" applyAlignment="1" applyProtection="1">
      <alignment vertical="center" wrapText="1"/>
      <protection hidden="1"/>
    </xf>
    <xf numFmtId="0" fontId="2"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1" fillId="0" borderId="6" xfId="0" applyFont="1" applyBorder="1" applyAlignment="1" applyProtection="1">
      <alignment vertical="center" wrapText="1"/>
      <protection hidden="1"/>
    </xf>
    <xf numFmtId="0" fontId="41" fillId="0" borderId="3" xfId="0" applyFont="1" applyBorder="1" applyAlignment="1" applyProtection="1">
      <alignment vertical="center" wrapText="1"/>
      <protection hidden="1"/>
    </xf>
    <xf numFmtId="0" fontId="41" fillId="0" borderId="7" xfId="0" applyFont="1" applyBorder="1" applyAlignment="1" applyProtection="1">
      <alignment vertical="center" wrapText="1"/>
      <protection hidden="1"/>
    </xf>
    <xf numFmtId="0" fontId="49"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3" fillId="2" borderId="26" xfId="0" applyNumberFormat="1" applyFont="1" applyFill="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9" fontId="15" fillId="14" borderId="3" xfId="0" applyNumberFormat="1" applyFont="1" applyFill="1" applyBorder="1" applyAlignment="1" applyProtection="1">
      <alignment horizontal="center" vertical="center"/>
      <protection hidden="1"/>
    </xf>
    <xf numFmtId="49" fontId="56" fillId="4" borderId="2" xfId="0" applyNumberFormat="1" applyFont="1" applyFill="1" applyBorder="1" applyAlignment="1" applyProtection="1">
      <alignment horizontal="center" vertical="center" wrapText="1"/>
      <protection locked="0"/>
    </xf>
    <xf numFmtId="49" fontId="56" fillId="4" borderId="3" xfId="0" applyNumberFormat="1" applyFont="1" applyFill="1" applyBorder="1" applyAlignment="1" applyProtection="1">
      <alignment horizontal="center" vertical="center" wrapText="1"/>
      <protection locked="0"/>
    </xf>
    <xf numFmtId="49" fontId="56" fillId="4" borderId="4" xfId="0" applyNumberFormat="1" applyFont="1" applyFill="1" applyBorder="1" applyAlignment="1" applyProtection="1">
      <alignment horizontal="center" vertical="center" wrapText="1"/>
      <protection locked="0"/>
    </xf>
    <xf numFmtId="49" fontId="19" fillId="5" borderId="7" xfId="0" applyNumberFormat="1" applyFont="1" applyFill="1" applyBorder="1" applyAlignment="1" applyProtection="1">
      <alignment horizontal="center" vertical="center" wrapText="1"/>
      <protection hidden="1"/>
    </xf>
    <xf numFmtId="0" fontId="19" fillId="5" borderId="7" xfId="0" applyFont="1" applyFill="1" applyBorder="1" applyAlignment="1" applyProtection="1">
      <alignment horizontal="center" vertical="center" wrapText="1"/>
      <protection hidden="1"/>
    </xf>
    <xf numFmtId="0" fontId="19" fillId="5" borderId="10" xfId="0" applyFont="1" applyFill="1" applyBorder="1" applyAlignment="1" applyProtection="1">
      <alignment horizontal="center" vertical="center" wrapText="1"/>
      <protection hidden="1"/>
    </xf>
    <xf numFmtId="0" fontId="19"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8" fillId="4" borderId="0" xfId="0" applyFont="1" applyFill="1"/>
    <xf numFmtId="0" fontId="19" fillId="5" borderId="5" xfId="0" applyFont="1" applyFill="1" applyBorder="1" applyAlignment="1">
      <alignment horizontal="center" vertical="center" wrapText="1"/>
    </xf>
    <xf numFmtId="0" fontId="47" fillId="0" borderId="79" xfId="0" applyFont="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0" borderId="80" xfId="0" applyFont="1" applyBorder="1" applyAlignment="1" applyProtection="1">
      <alignment horizontal="left" vertical="center" wrapText="1"/>
      <protection locked="0"/>
    </xf>
    <xf numFmtId="0" fontId="48" fillId="0" borderId="0" xfId="0" applyFont="1"/>
    <xf numFmtId="0" fontId="48" fillId="0" borderId="9" xfId="0" applyFont="1" applyBorder="1" applyAlignment="1" applyProtection="1">
      <alignment horizontal="left" vertical="center" wrapText="1"/>
      <protection locked="0"/>
    </xf>
    <xf numFmtId="49" fontId="45" fillId="9" borderId="14"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8" xfId="3" applyFont="1" applyBorder="1" applyAlignment="1">
      <alignment horizontal="center" vertical="center" wrapText="1"/>
    </xf>
    <xf numFmtId="0" fontId="27" fillId="0" borderId="59" xfId="3" quotePrefix="1" applyFont="1" applyBorder="1" applyAlignment="1">
      <alignment horizontal="left" vertical="center" wrapText="1"/>
    </xf>
    <xf numFmtId="0" fontId="27" fillId="0" borderId="0" xfId="3" quotePrefix="1" applyFont="1" applyAlignment="1">
      <alignment horizontal="left" vertical="center" wrapText="1"/>
    </xf>
    <xf numFmtId="0" fontId="27" fillId="0" borderId="60" xfId="3" quotePrefix="1" applyFont="1" applyBorder="1" applyAlignment="1">
      <alignment horizontal="left" vertical="center" wrapText="1"/>
    </xf>
    <xf numFmtId="0" fontId="32"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27" fillId="4" borderId="59" xfId="3" quotePrefix="1" applyFont="1" applyFill="1" applyBorder="1" applyAlignment="1">
      <alignment horizontal="left" vertical="top" wrapText="1"/>
    </xf>
    <xf numFmtId="0" fontId="27" fillId="4" borderId="0" xfId="3" quotePrefix="1" applyFont="1" applyFill="1" applyAlignment="1">
      <alignment horizontal="left" vertical="top" wrapText="1"/>
    </xf>
    <xf numFmtId="0" fontId="27" fillId="4" borderId="60" xfId="3" quotePrefix="1" applyFont="1" applyFill="1" applyBorder="1" applyAlignment="1">
      <alignment horizontal="left" vertical="top" wrapText="1"/>
    </xf>
    <xf numFmtId="0" fontId="35" fillId="16" borderId="61" xfId="4" applyFont="1" applyFill="1" applyBorder="1" applyAlignment="1">
      <alignment horizontal="center" vertical="center" wrapText="1"/>
    </xf>
    <xf numFmtId="0" fontId="35" fillId="16" borderId="62" xfId="4" applyFont="1" applyFill="1" applyBorder="1" applyAlignment="1">
      <alignment horizontal="center" vertical="center" wrapText="1"/>
    </xf>
    <xf numFmtId="0" fontId="35" fillId="16" borderId="63" xfId="3" applyFont="1" applyFill="1" applyBorder="1" applyAlignment="1">
      <alignment horizontal="center" vertical="center"/>
    </xf>
    <xf numFmtId="0" fontId="35" fillId="16" borderId="64" xfId="3" applyFont="1" applyFill="1" applyBorder="1" applyAlignment="1">
      <alignment horizontal="center" vertical="center"/>
    </xf>
    <xf numFmtId="0" fontId="35" fillId="4" borderId="75" xfId="4" applyFont="1" applyFill="1" applyBorder="1" applyAlignment="1">
      <alignment horizontal="left" vertical="center" wrapText="1" readingOrder="1"/>
    </xf>
    <xf numFmtId="0" fontId="35" fillId="4" borderId="76" xfId="4" applyFont="1" applyFill="1" applyBorder="1" applyAlignment="1">
      <alignment horizontal="left" vertical="center" wrapText="1" readingOrder="1"/>
    </xf>
    <xf numFmtId="0" fontId="36" fillId="0" borderId="65" xfId="3" applyFont="1" applyBorder="1" applyAlignment="1">
      <alignment horizontal="left" vertical="center" wrapText="1"/>
    </xf>
    <xf numFmtId="0" fontId="36" fillId="0" borderId="66" xfId="3" applyFont="1" applyBorder="1" applyAlignment="1">
      <alignment horizontal="left" vertical="center" wrapText="1"/>
    </xf>
    <xf numFmtId="0" fontId="35" fillId="4" borderId="67" xfId="0" applyFont="1" applyFill="1" applyBorder="1" applyAlignment="1">
      <alignment horizontal="left" vertical="center" wrapText="1"/>
    </xf>
    <xf numFmtId="0" fontId="35" fillId="4" borderId="68" xfId="0" applyFont="1" applyFill="1" applyBorder="1" applyAlignment="1">
      <alignment horizontal="left" vertical="center" wrapText="1"/>
    </xf>
    <xf numFmtId="0" fontId="36" fillId="0" borderId="69" xfId="3" applyFont="1" applyBorder="1" applyAlignment="1">
      <alignment horizontal="left" vertical="center" wrapText="1"/>
    </xf>
    <xf numFmtId="0" fontId="36" fillId="0" borderId="70" xfId="3" applyFont="1" applyBorder="1" applyAlignment="1">
      <alignment horizontal="left" vertical="center" wrapText="1"/>
    </xf>
    <xf numFmtId="0" fontId="36" fillId="0" borderId="69" xfId="3" applyFont="1" applyBorder="1" applyAlignment="1">
      <alignment horizontal="left" vertical="top" wrapText="1"/>
    </xf>
    <xf numFmtId="0" fontId="36" fillId="0" borderId="70" xfId="3" applyFont="1" applyBorder="1" applyAlignment="1">
      <alignment horizontal="left" vertical="top" wrapText="1"/>
    </xf>
    <xf numFmtId="0" fontId="27" fillId="4" borderId="59" xfId="3" applyFont="1" applyFill="1" applyBorder="1" applyAlignment="1">
      <alignment horizontal="left" vertical="top" wrapText="1"/>
    </xf>
    <xf numFmtId="0" fontId="27" fillId="4" borderId="0" xfId="3" applyFont="1" applyFill="1" applyAlignment="1">
      <alignment horizontal="left" vertical="top" wrapText="1"/>
    </xf>
    <xf numFmtId="0" fontId="27" fillId="4" borderId="60" xfId="3" applyFont="1" applyFill="1" applyBorder="1" applyAlignment="1">
      <alignment horizontal="left" vertical="top" wrapText="1"/>
    </xf>
    <xf numFmtId="0" fontId="27" fillId="4" borderId="0" xfId="3" applyFont="1" applyFill="1"/>
    <xf numFmtId="0" fontId="35" fillId="4" borderId="77" xfId="0" applyFont="1" applyFill="1" applyBorder="1" applyAlignment="1">
      <alignment horizontal="left" vertical="center" wrapText="1"/>
    </xf>
    <xf numFmtId="0" fontId="35" fillId="4" borderId="78" xfId="0" applyFont="1" applyFill="1" applyBorder="1" applyAlignment="1">
      <alignment horizontal="left" vertical="center" wrapText="1"/>
    </xf>
    <xf numFmtId="0" fontId="18" fillId="2" borderId="44"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26" fillId="7" borderId="50" xfId="2" applyFont="1" applyFill="1" applyBorder="1" applyAlignment="1">
      <alignment horizontal="center" vertical="center"/>
    </xf>
    <xf numFmtId="0" fontId="26" fillId="7" borderId="51" xfId="2" applyFont="1" applyFill="1" applyBorder="1" applyAlignment="1">
      <alignment horizontal="center" vertical="center"/>
    </xf>
    <xf numFmtId="0" fontId="27" fillId="0" borderId="56" xfId="2" applyFont="1" applyBorder="1" applyAlignment="1">
      <alignment horizontal="justify" vertical="center" wrapText="1"/>
    </xf>
    <xf numFmtId="0" fontId="27" fillId="0" borderId="57" xfId="2" applyFont="1" applyBorder="1" applyAlignment="1">
      <alignment horizontal="justify" vertical="center" wrapText="1"/>
    </xf>
    <xf numFmtId="0" fontId="26" fillId="8" borderId="52" xfId="2" applyFont="1" applyFill="1" applyBorder="1" applyAlignment="1">
      <alignment horizontal="center" vertical="center" wrapText="1"/>
    </xf>
    <xf numFmtId="0" fontId="26" fillId="8" borderId="53" xfId="2" applyFont="1" applyFill="1" applyBorder="1" applyAlignment="1">
      <alignment horizontal="center" vertical="center"/>
    </xf>
    <xf numFmtId="0" fontId="27" fillId="0" borderId="53" xfId="2" applyFont="1" applyBorder="1" applyAlignment="1">
      <alignment horizontal="justify" vertical="center" wrapText="1"/>
    </xf>
    <xf numFmtId="0" fontId="27" fillId="0" borderId="54" xfId="2" applyFont="1" applyBorder="1" applyAlignment="1">
      <alignment horizontal="justify" vertical="center" wrapText="1"/>
    </xf>
    <xf numFmtId="0" fontId="38" fillId="4" borderId="71" xfId="2" applyFont="1" applyFill="1" applyBorder="1" applyAlignment="1">
      <alignment horizontal="center" vertical="center" wrapText="1"/>
    </xf>
    <xf numFmtId="0" fontId="25" fillId="4" borderId="71"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26" fillId="14" borderId="47" xfId="2" applyFont="1" applyFill="1" applyBorder="1" applyAlignment="1">
      <alignment horizontal="center" vertical="center"/>
    </xf>
    <xf numFmtId="0" fontId="26" fillId="14" borderId="48" xfId="2" applyFont="1" applyFill="1" applyBorder="1" applyAlignment="1">
      <alignment horizontal="center" vertical="center"/>
    </xf>
    <xf numFmtId="0" fontId="27" fillId="0" borderId="48" xfId="2" applyFont="1" applyBorder="1" applyAlignment="1">
      <alignment horizontal="justify" vertical="center" wrapText="1"/>
    </xf>
    <xf numFmtId="0" fontId="27" fillId="0" borderId="49" xfId="2" applyFont="1" applyBorder="1" applyAlignment="1">
      <alignment horizontal="justify" vertical="center" wrapText="1"/>
    </xf>
    <xf numFmtId="0" fontId="45" fillId="9" borderId="11" xfId="0" applyFont="1" applyFill="1" applyBorder="1" applyAlignment="1">
      <alignment horizontal="center" vertical="center" wrapText="1"/>
    </xf>
    <xf numFmtId="0" fontId="45" fillId="9" borderId="12" xfId="0" applyFont="1" applyFill="1" applyBorder="1" applyAlignment="1">
      <alignment horizontal="center" vertical="center" wrapText="1"/>
    </xf>
    <xf numFmtId="0" fontId="45" fillId="9" borderId="6" xfId="0" applyFont="1" applyFill="1" applyBorder="1" applyAlignment="1">
      <alignment horizontal="center" vertical="center" wrapText="1"/>
    </xf>
    <xf numFmtId="49" fontId="45" fillId="9" borderId="14" xfId="0" applyNumberFormat="1" applyFont="1" applyFill="1" applyBorder="1" applyAlignment="1">
      <alignment horizontal="center" vertical="center" wrapText="1"/>
    </xf>
    <xf numFmtId="49" fontId="45" fillId="9" borderId="15" xfId="0" applyNumberFormat="1" applyFont="1" applyFill="1" applyBorder="1" applyAlignment="1">
      <alignment horizontal="center" vertical="center" wrapText="1"/>
    </xf>
    <xf numFmtId="49" fontId="45" fillId="9" borderId="16" xfId="0" applyNumberFormat="1" applyFont="1" applyFill="1" applyBorder="1" applyAlignment="1">
      <alignment horizontal="center" vertical="center" wrapText="1"/>
    </xf>
    <xf numFmtId="49" fontId="45" fillId="6" borderId="11" xfId="0" applyNumberFormat="1" applyFont="1" applyFill="1" applyBorder="1" applyAlignment="1">
      <alignment horizontal="center" vertical="center" wrapText="1"/>
    </xf>
    <xf numFmtId="49" fontId="45" fillId="6" borderId="12" xfId="0" applyNumberFormat="1" applyFont="1" applyFill="1" applyBorder="1" applyAlignment="1">
      <alignment horizontal="center" vertical="center" wrapText="1"/>
    </xf>
    <xf numFmtId="49" fontId="45" fillId="6" borderId="13" xfId="0" applyNumberFormat="1" applyFont="1" applyFill="1" applyBorder="1" applyAlignment="1">
      <alignment horizontal="center" vertical="center" wrapText="1"/>
    </xf>
    <xf numFmtId="49" fontId="45" fillId="10" borderId="11" xfId="0" applyNumberFormat="1" applyFont="1" applyFill="1" applyBorder="1" applyAlignment="1">
      <alignment horizontal="center" vertical="center" wrapText="1"/>
    </xf>
    <xf numFmtId="49" fontId="45" fillId="10" borderId="12" xfId="0" applyNumberFormat="1" applyFont="1" applyFill="1" applyBorder="1" applyAlignment="1">
      <alignment horizontal="center" vertical="center" wrapText="1"/>
    </xf>
    <xf numFmtId="49" fontId="45" fillId="10" borderId="13" xfId="0" applyNumberFormat="1" applyFont="1" applyFill="1" applyBorder="1" applyAlignment="1">
      <alignment horizontal="center" vertical="center" wrapText="1"/>
    </xf>
    <xf numFmtId="49" fontId="45" fillId="2" borderId="11" xfId="0" applyNumberFormat="1" applyFont="1" applyFill="1" applyBorder="1" applyAlignment="1">
      <alignment horizontal="center" vertical="center" wrapText="1"/>
    </xf>
    <xf numFmtId="49" fontId="45" fillId="2" borderId="12" xfId="0" applyNumberFormat="1" applyFont="1" applyFill="1" applyBorder="1" applyAlignment="1">
      <alignment horizontal="center" vertical="center" wrapText="1"/>
    </xf>
    <xf numFmtId="49" fontId="45" fillId="2" borderId="13" xfId="0" applyNumberFormat="1" applyFont="1" applyFill="1" applyBorder="1" applyAlignment="1">
      <alignment horizontal="center" vertical="center" wrapText="1"/>
    </xf>
    <xf numFmtId="49" fontId="45" fillId="11" borderId="11" xfId="0" applyNumberFormat="1" applyFont="1" applyFill="1" applyBorder="1" applyAlignment="1">
      <alignment horizontal="center" vertical="center" wrapText="1"/>
    </xf>
    <xf numFmtId="49" fontId="45" fillId="11" borderId="12" xfId="0" applyNumberFormat="1" applyFont="1" applyFill="1" applyBorder="1" applyAlignment="1">
      <alignment horizontal="center" vertical="center" wrapText="1"/>
    </xf>
    <xf numFmtId="49" fontId="45" fillId="11" borderId="13"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49" fontId="45" fillId="9" borderId="12" xfId="0" applyNumberFormat="1" applyFont="1" applyFill="1" applyBorder="1" applyAlignment="1">
      <alignment horizontal="center" vertical="center" wrapText="1"/>
    </xf>
    <xf numFmtId="49" fontId="45" fillId="9" borderId="13" xfId="0" applyNumberFormat="1" applyFont="1" applyFill="1" applyBorder="1" applyAlignment="1">
      <alignment horizontal="center" vertical="center" wrapText="1"/>
    </xf>
    <xf numFmtId="49" fontId="45" fillId="10" borderId="3" xfId="0" applyNumberFormat="1" applyFont="1" applyFill="1" applyBorder="1" applyAlignment="1">
      <alignment horizontal="center" vertical="center" wrapText="1"/>
    </xf>
    <xf numFmtId="0" fontId="45" fillId="10" borderId="3" xfId="0" applyFont="1" applyFill="1" applyBorder="1" applyAlignment="1">
      <alignment horizontal="center" vertical="center" wrapText="1"/>
    </xf>
    <xf numFmtId="49" fontId="45" fillId="10" borderId="15" xfId="0" applyNumberFormat="1" applyFont="1" applyFill="1" applyBorder="1" applyAlignment="1">
      <alignment horizontal="center" vertical="center" wrapText="1"/>
    </xf>
    <xf numFmtId="0" fontId="45" fillId="10" borderId="12" xfId="0" applyFont="1" applyFill="1" applyBorder="1" applyAlignment="1">
      <alignment horizontal="center" vertical="center" wrapText="1"/>
    </xf>
    <xf numFmtId="49" fontId="45" fillId="2" borderId="14" xfId="0" applyNumberFormat="1" applyFont="1" applyFill="1" applyBorder="1" applyAlignment="1">
      <alignment horizontal="center" vertical="center" wrapText="1"/>
    </xf>
    <xf numFmtId="49" fontId="45" fillId="2" borderId="15" xfId="0" applyNumberFormat="1" applyFont="1" applyFill="1" applyBorder="1" applyAlignment="1">
      <alignment horizontal="center" vertical="center" wrapText="1"/>
    </xf>
    <xf numFmtId="49" fontId="45" fillId="2" borderId="16" xfId="0" applyNumberFormat="1"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3" xfId="0" applyFont="1" applyFill="1" applyBorder="1" applyAlignment="1">
      <alignment horizontal="center" vertical="center" wrapText="1"/>
    </xf>
    <xf numFmtId="49" fontId="46" fillId="5" borderId="0" xfId="0" applyNumberFormat="1" applyFont="1" applyFill="1" applyAlignment="1">
      <alignment horizontal="center" vertical="center"/>
    </xf>
    <xf numFmtId="0" fontId="45" fillId="11" borderId="11"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45" fillId="11" borderId="13" xfId="0" applyFont="1" applyFill="1" applyBorder="1" applyAlignment="1">
      <alignment horizontal="center" vertical="center" wrapText="1"/>
    </xf>
    <xf numFmtId="49" fontId="45" fillId="11" borderId="14" xfId="0" applyNumberFormat="1" applyFont="1" applyFill="1" applyBorder="1" applyAlignment="1">
      <alignment horizontal="center" vertical="center" wrapText="1"/>
    </xf>
    <xf numFmtId="49" fontId="45" fillId="11" borderId="15" xfId="0" applyNumberFormat="1" applyFont="1" applyFill="1" applyBorder="1" applyAlignment="1">
      <alignment horizontal="center" vertical="center" wrapText="1"/>
    </xf>
    <xf numFmtId="49" fontId="45" fillId="11" borderId="16" xfId="0" applyNumberFormat="1" applyFont="1" applyFill="1" applyBorder="1" applyAlignment="1">
      <alignment horizontal="center" vertical="center" wrapText="1"/>
    </xf>
    <xf numFmtId="0" fontId="45" fillId="9" borderId="13" xfId="0"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6" borderId="13" xfId="0" applyFont="1" applyFill="1" applyBorder="1" applyAlignment="1">
      <alignment horizontal="center" vertical="center" wrapText="1"/>
    </xf>
    <xf numFmtId="49" fontId="9" fillId="6" borderId="14" xfId="0" applyNumberFormat="1" applyFont="1" applyFill="1" applyBorder="1" applyAlignment="1">
      <alignment horizontal="center" vertical="center" wrapText="1"/>
    </xf>
    <xf numFmtId="49" fontId="9" fillId="6" borderId="15" xfId="0" applyNumberFormat="1" applyFont="1" applyFill="1" applyBorder="1" applyAlignment="1">
      <alignment horizontal="center" vertical="center" wrapText="1"/>
    </xf>
    <xf numFmtId="49" fontId="9" fillId="6" borderId="16" xfId="0" applyNumberFormat="1" applyFont="1" applyFill="1" applyBorder="1" applyAlignment="1">
      <alignment horizontal="center" vertical="center" wrapText="1"/>
    </xf>
    <xf numFmtId="49" fontId="9" fillId="10" borderId="14" xfId="0" applyNumberFormat="1" applyFont="1" applyFill="1" applyBorder="1" applyAlignment="1">
      <alignment horizontal="center" vertical="center" wrapText="1"/>
    </xf>
    <xf numFmtId="49" fontId="9" fillId="10" borderId="15" xfId="0" applyNumberFormat="1" applyFont="1" applyFill="1" applyBorder="1" applyAlignment="1">
      <alignment horizontal="center" vertical="center" wrapText="1"/>
    </xf>
    <xf numFmtId="49" fontId="9" fillId="10" borderId="16" xfId="0" applyNumberFormat="1" applyFont="1" applyFill="1" applyBorder="1" applyAlignment="1">
      <alignment horizontal="center" vertical="center" wrapText="1"/>
    </xf>
    <xf numFmtId="0" fontId="45" fillId="10" borderId="11" xfId="0" applyFont="1" applyFill="1" applyBorder="1" applyAlignment="1">
      <alignment horizontal="center" vertical="center" wrapText="1"/>
    </xf>
    <xf numFmtId="0" fontId="45" fillId="10" borderId="13" xfId="0" applyFont="1" applyFill="1" applyBorder="1" applyAlignment="1">
      <alignment horizontal="center" vertical="center" wrapText="1"/>
    </xf>
    <xf numFmtId="9" fontId="42" fillId="0" borderId="87" xfId="0" applyNumberFormat="1" applyFont="1" applyBorder="1" applyAlignment="1" applyProtection="1">
      <alignment horizontal="center" vertical="center"/>
      <protection hidden="1"/>
    </xf>
    <xf numFmtId="9" fontId="42" fillId="0" borderId="88" xfId="0" applyNumberFormat="1" applyFont="1" applyBorder="1" applyAlignment="1" applyProtection="1">
      <alignment horizontal="center" vertical="center"/>
      <protection hidden="1"/>
    </xf>
    <xf numFmtId="9" fontId="29" fillId="7" borderId="84" xfId="1" applyFont="1" applyFill="1" applyBorder="1" applyAlignment="1" applyProtection="1">
      <alignment horizontal="center" vertical="center"/>
      <protection hidden="1"/>
    </xf>
    <xf numFmtId="9" fontId="29" fillId="7" borderId="85" xfId="1" applyFont="1" applyFill="1" applyBorder="1" applyAlignment="1" applyProtection="1">
      <alignment horizontal="center" vertical="center"/>
      <protection hidden="1"/>
    </xf>
    <xf numFmtId="9" fontId="29" fillId="7" borderId="86" xfId="1" applyFont="1" applyFill="1" applyBorder="1" applyAlignment="1" applyProtection="1">
      <alignment horizontal="center" vertical="center"/>
      <protection hidden="1"/>
    </xf>
    <xf numFmtId="0" fontId="28" fillId="9" borderId="14" xfId="0" applyFont="1" applyFill="1" applyBorder="1" applyAlignment="1">
      <alignment horizontal="center" vertical="center" textRotation="90"/>
    </xf>
    <xf numFmtId="0" fontId="28" fillId="9" borderId="15" xfId="0" applyFont="1" applyFill="1" applyBorder="1" applyAlignment="1">
      <alignment horizontal="center" vertical="center" textRotation="90"/>
    </xf>
    <xf numFmtId="0" fontId="28" fillId="9" borderId="16" xfId="0" applyFont="1" applyFill="1" applyBorder="1" applyAlignment="1">
      <alignment horizontal="center" vertical="center" textRotation="90"/>
    </xf>
    <xf numFmtId="9" fontId="42" fillId="4" borderId="87" xfId="0" applyNumberFormat="1" applyFont="1" applyFill="1" applyBorder="1" applyAlignment="1" applyProtection="1">
      <alignment horizontal="center" vertical="center"/>
      <protection hidden="1"/>
    </xf>
    <xf numFmtId="9" fontId="42" fillId="4" borderId="88" xfId="0" applyNumberFormat="1" applyFont="1" applyFill="1" applyBorder="1" applyAlignment="1" applyProtection="1">
      <alignment horizontal="center" vertical="center"/>
      <protection hidden="1"/>
    </xf>
    <xf numFmtId="9" fontId="42" fillId="4" borderId="89" xfId="0" applyNumberFormat="1" applyFont="1" applyFill="1" applyBorder="1" applyAlignment="1" applyProtection="1">
      <alignment horizontal="center" vertical="center"/>
      <protection hidden="1"/>
    </xf>
    <xf numFmtId="0" fontId="28" fillId="11" borderId="15" xfId="0" applyFont="1" applyFill="1" applyBorder="1" applyAlignment="1">
      <alignment horizontal="center" vertical="center" textRotation="90"/>
    </xf>
    <xf numFmtId="0" fontId="28" fillId="2" borderId="14" xfId="0" applyFont="1" applyFill="1" applyBorder="1" applyAlignment="1">
      <alignment horizontal="center" vertical="center" textRotation="90"/>
    </xf>
    <xf numFmtId="0" fontId="28" fillId="2" borderId="15" xfId="0" applyFont="1" applyFill="1" applyBorder="1" applyAlignment="1">
      <alignment horizontal="center" vertical="center" textRotation="90"/>
    </xf>
    <xf numFmtId="0" fontId="28" fillId="2" borderId="16" xfId="0" applyFont="1" applyFill="1" applyBorder="1" applyAlignment="1">
      <alignment horizontal="center" vertical="center" textRotation="90"/>
    </xf>
    <xf numFmtId="9" fontId="42" fillId="0" borderId="89" xfId="0" applyNumberFormat="1" applyFont="1" applyBorder="1" applyAlignment="1" applyProtection="1">
      <alignment horizontal="center" vertical="center"/>
      <protection hidden="1"/>
    </xf>
    <xf numFmtId="0" fontId="28" fillId="10" borderId="14" xfId="0" applyFont="1" applyFill="1" applyBorder="1" applyAlignment="1">
      <alignment horizontal="center" vertical="center" textRotation="90"/>
    </xf>
    <xf numFmtId="0" fontId="28" fillId="10" borderId="15" xfId="0" applyFont="1" applyFill="1" applyBorder="1" applyAlignment="1">
      <alignment horizontal="center" vertical="center" textRotation="90"/>
    </xf>
    <xf numFmtId="0" fontId="20" fillId="3" borderId="32" xfId="2" applyFont="1" applyFill="1" applyBorder="1" applyAlignment="1">
      <alignment horizontal="center" vertical="center" wrapText="1"/>
    </xf>
    <xf numFmtId="0" fontId="20" fillId="3" borderId="33" xfId="2" applyFont="1" applyFill="1" applyBorder="1" applyAlignment="1">
      <alignment horizontal="center" vertical="center" wrapText="1"/>
    </xf>
    <xf numFmtId="0" fontId="24" fillId="6" borderId="14" xfId="0" applyFont="1" applyFill="1" applyBorder="1" applyAlignment="1">
      <alignment horizontal="center" vertical="center" textRotation="90" wrapText="1"/>
    </xf>
    <xf numFmtId="0" fontId="24" fillId="6" borderId="15" xfId="0" applyFont="1" applyFill="1" applyBorder="1" applyAlignment="1">
      <alignment horizontal="center" vertical="center" textRotation="90" wrapText="1"/>
    </xf>
    <xf numFmtId="0" fontId="24" fillId="6" borderId="16" xfId="0" applyFont="1" applyFill="1" applyBorder="1" applyAlignment="1">
      <alignment horizontal="center" vertical="center" textRotation="90" wrapText="1"/>
    </xf>
    <xf numFmtId="0" fontId="20" fillId="2" borderId="37" xfId="2" applyFont="1" applyFill="1" applyBorder="1" applyAlignment="1">
      <alignment horizontal="center" vertical="center" wrapText="1"/>
    </xf>
    <xf numFmtId="0" fontId="20" fillId="2" borderId="83" xfId="2" applyFont="1" applyFill="1" applyBorder="1" applyAlignment="1">
      <alignment horizontal="center" vertical="center" wrapText="1"/>
    </xf>
    <xf numFmtId="0" fontId="20" fillId="2" borderId="38" xfId="2" applyFont="1" applyFill="1" applyBorder="1" applyAlignment="1">
      <alignment horizontal="center" vertical="center" wrapText="1"/>
    </xf>
    <xf numFmtId="0" fontId="20" fillId="2" borderId="39" xfId="2" applyFont="1" applyFill="1" applyBorder="1" applyAlignment="1">
      <alignment horizontal="center" vertical="center" wrapText="1"/>
    </xf>
    <xf numFmtId="0" fontId="20" fillId="2" borderId="40"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0" fillId="2" borderId="41" xfId="2" applyFont="1" applyFill="1" applyBorder="1" applyAlignment="1">
      <alignment horizontal="center" vertical="center" wrapText="1"/>
    </xf>
    <xf numFmtId="0" fontId="20" fillId="2" borderId="43" xfId="2"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5" xfId="0" applyFont="1" applyFill="1" applyBorder="1" applyAlignment="1">
      <alignment horizontal="center" vertical="center"/>
    </xf>
    <xf numFmtId="49" fontId="50" fillId="4" borderId="91" xfId="0" applyNumberFormat="1" applyFont="1" applyFill="1" applyBorder="1" applyAlignment="1">
      <alignment horizontal="left" vertical="center" wrapText="1"/>
    </xf>
    <xf numFmtId="49" fontId="50" fillId="4" borderId="3" xfId="0" applyNumberFormat="1" applyFont="1" applyFill="1" applyBorder="1" applyAlignment="1">
      <alignment horizontal="left" vertical="center" wrapText="1"/>
    </xf>
    <xf numFmtId="49" fontId="50" fillId="4" borderId="92" xfId="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2" fillId="2" borderId="7"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7" fillId="4" borderId="3" xfId="0" applyFont="1" applyFill="1" applyBorder="1" applyAlignment="1" applyProtection="1">
      <alignment horizontal="center" vertical="center"/>
      <protection locked="0"/>
    </xf>
    <xf numFmtId="164" fontId="57" fillId="4" borderId="22" xfId="0" applyNumberFormat="1" applyFont="1" applyFill="1" applyBorder="1" applyAlignment="1" applyProtection="1">
      <alignment horizontal="center" vertical="center"/>
      <protection locked="0"/>
    </xf>
    <xf numFmtId="164" fontId="57" fillId="4" borderId="23" xfId="0" applyNumberFormat="1" applyFont="1" applyFill="1" applyBorder="1" applyAlignment="1" applyProtection="1">
      <alignment horizontal="center" vertical="center"/>
      <protection locked="0"/>
    </xf>
    <xf numFmtId="164" fontId="57" fillId="4" borderId="9" xfId="0" applyNumberFormat="1" applyFont="1" applyFill="1" applyBorder="1" applyAlignment="1" applyProtection="1">
      <alignment horizontal="center" vertical="center"/>
      <protection locked="0"/>
    </xf>
    <xf numFmtId="0" fontId="53" fillId="2" borderId="24"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49" fontId="50" fillId="4" borderId="90" xfId="0" applyNumberFormat="1" applyFont="1" applyFill="1" applyBorder="1" applyAlignment="1">
      <alignment horizontal="left" vertical="center" wrapText="1"/>
    </xf>
    <xf numFmtId="49" fontId="50" fillId="4" borderId="2" xfId="0" applyNumberFormat="1" applyFont="1" applyFill="1" applyBorder="1" applyAlignment="1">
      <alignment horizontal="left" vertical="center" wrapText="1"/>
    </xf>
    <xf numFmtId="49" fontId="1" fillId="4" borderId="2" xfId="0" applyNumberFormat="1" applyFont="1" applyFill="1" applyBorder="1" applyAlignment="1" applyProtection="1">
      <alignment horizontal="left" vertical="top" wrapText="1"/>
      <protection locked="0"/>
    </xf>
    <xf numFmtId="49" fontId="59" fillId="4" borderId="2" xfId="0" applyNumberFormat="1" applyFont="1" applyFill="1" applyBorder="1" applyAlignment="1" applyProtection="1">
      <alignment horizontal="left" vertical="top" wrapText="1"/>
      <protection locked="0"/>
    </xf>
    <xf numFmtId="49" fontId="59" fillId="4" borderId="84" xfId="0" applyNumberFormat="1" applyFont="1" applyFill="1" applyBorder="1" applyAlignment="1" applyProtection="1">
      <alignment horizontal="left" vertical="top" wrapText="1"/>
      <protection locked="0"/>
    </xf>
    <xf numFmtId="49" fontId="1" fillId="4" borderId="3" xfId="0" applyNumberFormat="1" applyFont="1" applyFill="1" applyBorder="1" applyAlignment="1" applyProtection="1">
      <alignment horizontal="left" vertical="top" wrapText="1"/>
      <protection locked="0"/>
    </xf>
    <xf numFmtId="49" fontId="59" fillId="4" borderId="3" xfId="0" applyNumberFormat="1" applyFont="1" applyFill="1" applyBorder="1" applyAlignment="1" applyProtection="1">
      <alignment horizontal="left" vertical="top" wrapText="1"/>
      <protection locked="0"/>
    </xf>
    <xf numFmtId="49" fontId="59" fillId="4" borderId="85"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59" fillId="4" borderId="4" xfId="0" applyNumberFormat="1" applyFont="1" applyFill="1" applyBorder="1" applyAlignment="1" applyProtection="1">
      <alignment horizontal="left" vertical="top" wrapText="1"/>
      <protection locked="0"/>
    </xf>
    <xf numFmtId="49" fontId="59" fillId="4" borderId="86" xfId="0" applyNumberFormat="1" applyFont="1" applyFill="1" applyBorder="1" applyAlignment="1" applyProtection="1">
      <alignment horizontal="left" vertical="top" wrapText="1"/>
      <protection locked="0"/>
    </xf>
    <xf numFmtId="0" fontId="0" fillId="0" borderId="2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3" fillId="12" borderId="0" xfId="0" applyFont="1" applyFill="1" applyAlignment="1">
      <alignment horizontal="center" vertical="center" wrapText="1"/>
    </xf>
    <xf numFmtId="0" fontId="58" fillId="0" borderId="24" xfId="0" applyFont="1" applyBorder="1" applyAlignment="1" applyProtection="1">
      <alignment horizontal="left" vertical="center" wrapText="1"/>
      <protection locked="0"/>
    </xf>
    <xf numFmtId="0" fontId="58" fillId="0" borderId="1" xfId="0" applyFont="1" applyBorder="1" applyAlignment="1" applyProtection="1">
      <alignment horizontal="left" vertical="center" wrapText="1"/>
      <protection locked="0"/>
    </xf>
    <xf numFmtId="0" fontId="58" fillId="0" borderId="25" xfId="0" applyFont="1" applyBorder="1" applyAlignment="1" applyProtection="1">
      <alignment horizontal="left" vertical="center" wrapText="1"/>
      <protection locked="0"/>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ejia/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5" zoomScale="90" zoomScaleNormal="90" workbookViewId="0">
      <selection activeCell="C14" sqref="C14"/>
    </sheetView>
  </sheetViews>
  <sheetFormatPr baseColWidth="10" defaultColWidth="0" defaultRowHeight="13" zeroHeight="1" x14ac:dyDescent="0.3"/>
  <cols>
    <col min="1" max="1" width="3.81640625" style="42" customWidth="1"/>
    <col min="2" max="2" width="15.26953125" style="42" customWidth="1"/>
    <col min="3" max="3" width="17.26953125" style="42" customWidth="1"/>
    <col min="4" max="4" width="28.453125" style="42" customWidth="1"/>
    <col min="5" max="5" width="12.81640625" style="42" customWidth="1"/>
    <col min="6" max="6" width="47.1796875" style="42" customWidth="1"/>
    <col min="7" max="7" width="21.453125" style="42" customWidth="1"/>
    <col min="8" max="8" width="6.453125" style="42" customWidth="1"/>
    <col min="9" max="9" width="2.453125" style="42" customWidth="1"/>
    <col min="10" max="16384" width="11.453125" style="42" hidden="1"/>
  </cols>
  <sheetData>
    <row r="1" spans="2:8" ht="13.5" thickBot="1" x14ac:dyDescent="0.35"/>
    <row r="2" spans="2:8" ht="73.5" customHeight="1" x14ac:dyDescent="0.3">
      <c r="B2" s="154" t="s">
        <v>0</v>
      </c>
      <c r="C2" s="155"/>
      <c r="D2" s="155"/>
      <c r="E2" s="155"/>
      <c r="F2" s="155"/>
      <c r="G2" s="155"/>
      <c r="H2" s="156"/>
    </row>
    <row r="3" spans="2:8" ht="65.25" customHeight="1" x14ac:dyDescent="0.3">
      <c r="B3" s="157" t="s">
        <v>1</v>
      </c>
      <c r="C3" s="158"/>
      <c r="D3" s="158"/>
      <c r="E3" s="158"/>
      <c r="F3" s="158"/>
      <c r="G3" s="158"/>
      <c r="H3" s="159"/>
    </row>
    <row r="4" spans="2:8" ht="82.5" customHeight="1" x14ac:dyDescent="0.3">
      <c r="B4" s="157"/>
      <c r="C4" s="158"/>
      <c r="D4" s="158"/>
      <c r="E4" s="158"/>
      <c r="F4" s="158"/>
      <c r="G4" s="158"/>
      <c r="H4" s="159"/>
    </row>
    <row r="5" spans="2:8" ht="21.75" customHeight="1" x14ac:dyDescent="0.3">
      <c r="B5" s="160" t="s">
        <v>2</v>
      </c>
      <c r="C5" s="161"/>
      <c r="D5" s="161"/>
      <c r="E5" s="161"/>
      <c r="F5" s="161"/>
      <c r="G5" s="161"/>
      <c r="H5" s="162"/>
    </row>
    <row r="6" spans="2:8" ht="42" customHeight="1" x14ac:dyDescent="0.3">
      <c r="B6" s="163" t="s">
        <v>3</v>
      </c>
      <c r="C6" s="164"/>
      <c r="D6" s="164"/>
      <c r="E6" s="164"/>
      <c r="F6" s="164"/>
      <c r="G6" s="164"/>
      <c r="H6" s="165"/>
    </row>
    <row r="7" spans="2:8" ht="14.25" customHeight="1" x14ac:dyDescent="0.3">
      <c r="B7" s="163"/>
      <c r="C7" s="164"/>
      <c r="D7" s="164"/>
      <c r="E7" s="164"/>
      <c r="F7" s="164"/>
      <c r="G7" s="164"/>
      <c r="H7" s="165"/>
    </row>
    <row r="8" spans="2:8" ht="12.75" customHeight="1" thickBot="1" x14ac:dyDescent="0.35">
      <c r="B8" s="54"/>
      <c r="C8" s="48"/>
      <c r="D8" s="63"/>
      <c r="E8" s="64"/>
      <c r="F8" s="64"/>
      <c r="G8" s="62"/>
      <c r="H8" s="56"/>
    </row>
    <row r="9" spans="2:8" ht="21" customHeight="1" thickTop="1" x14ac:dyDescent="0.3">
      <c r="B9" s="54"/>
      <c r="C9" s="166" t="s">
        <v>4</v>
      </c>
      <c r="D9" s="167"/>
      <c r="E9" s="168" t="s">
        <v>5</v>
      </c>
      <c r="F9" s="169"/>
      <c r="G9" s="48"/>
      <c r="H9" s="56"/>
    </row>
    <row r="10" spans="2:8" ht="37.5" customHeight="1" x14ac:dyDescent="0.3">
      <c r="B10" s="54"/>
      <c r="C10" s="170" t="s">
        <v>6</v>
      </c>
      <c r="D10" s="171"/>
      <c r="E10" s="172" t="s">
        <v>7</v>
      </c>
      <c r="F10" s="173"/>
      <c r="G10" s="48"/>
      <c r="H10" s="56"/>
    </row>
    <row r="11" spans="2:8" ht="39.75" customHeight="1" x14ac:dyDescent="0.3">
      <c r="B11" s="54"/>
      <c r="C11" s="174" t="s">
        <v>8</v>
      </c>
      <c r="D11" s="175"/>
      <c r="E11" s="176" t="s">
        <v>9</v>
      </c>
      <c r="F11" s="177"/>
      <c r="G11" s="48"/>
      <c r="H11" s="56"/>
    </row>
    <row r="12" spans="2:8" ht="59.25" customHeight="1" x14ac:dyDescent="0.3">
      <c r="B12" s="54"/>
      <c r="C12" s="174" t="s">
        <v>10</v>
      </c>
      <c r="D12" s="175"/>
      <c r="E12" s="178" t="s">
        <v>11</v>
      </c>
      <c r="F12" s="179"/>
      <c r="G12" s="48"/>
      <c r="H12" s="56"/>
    </row>
    <row r="13" spans="2:8" ht="33.75" customHeight="1" x14ac:dyDescent="0.3">
      <c r="B13" s="54"/>
      <c r="C13" s="184" t="s">
        <v>12</v>
      </c>
      <c r="D13" s="185"/>
      <c r="E13" s="176" t="s">
        <v>13</v>
      </c>
      <c r="F13" s="177"/>
      <c r="G13" s="48"/>
      <c r="H13" s="56"/>
    </row>
    <row r="14" spans="2:8" ht="19.5" customHeight="1" x14ac:dyDescent="0.3">
      <c r="B14" s="54"/>
      <c r="C14" s="60"/>
      <c r="D14" s="60"/>
      <c r="E14" s="61"/>
      <c r="F14" s="61"/>
      <c r="G14" s="48"/>
      <c r="H14" s="56"/>
    </row>
    <row r="15" spans="2:8" ht="37.5" customHeight="1" thickBot="1" x14ac:dyDescent="0.35">
      <c r="B15" s="180" t="s">
        <v>14</v>
      </c>
      <c r="C15" s="181"/>
      <c r="D15" s="181"/>
      <c r="E15" s="181"/>
      <c r="F15" s="181"/>
      <c r="G15" s="181"/>
      <c r="H15" s="182"/>
    </row>
    <row r="16" spans="2:8" ht="27.75" customHeight="1" thickBot="1" x14ac:dyDescent="0.35">
      <c r="B16" s="54"/>
      <c r="C16" s="186" t="s">
        <v>15</v>
      </c>
      <c r="D16" s="187"/>
      <c r="E16" s="187" t="s">
        <v>16</v>
      </c>
      <c r="F16" s="198"/>
      <c r="G16" s="48"/>
      <c r="H16" s="56"/>
    </row>
    <row r="17" spans="2:8" ht="27.75" customHeight="1" x14ac:dyDescent="0.3">
      <c r="B17" s="54"/>
      <c r="C17" s="199" t="s">
        <v>17</v>
      </c>
      <c r="D17" s="200"/>
      <c r="E17" s="201" t="s">
        <v>18</v>
      </c>
      <c r="F17" s="202"/>
      <c r="G17" s="92"/>
      <c r="H17" s="56"/>
    </row>
    <row r="18" spans="2:8" ht="41.25" customHeight="1" x14ac:dyDescent="0.3">
      <c r="B18" s="54"/>
      <c r="C18" s="188" t="s">
        <v>19</v>
      </c>
      <c r="D18" s="189"/>
      <c r="E18" s="190" t="s">
        <v>20</v>
      </c>
      <c r="F18" s="191"/>
      <c r="G18" s="93"/>
      <c r="H18" s="56"/>
    </row>
    <row r="19" spans="2:8" ht="37.5" customHeight="1" thickBot="1" x14ac:dyDescent="0.35">
      <c r="B19" s="54"/>
      <c r="C19" s="192" t="s">
        <v>21</v>
      </c>
      <c r="D19" s="193"/>
      <c r="E19" s="194" t="s">
        <v>22</v>
      </c>
      <c r="F19" s="195"/>
      <c r="G19" s="93"/>
      <c r="H19" s="56"/>
    </row>
    <row r="20" spans="2:8" ht="11.25" customHeight="1" x14ac:dyDescent="0.3">
      <c r="B20" s="49"/>
      <c r="C20" s="50"/>
      <c r="D20" s="50"/>
      <c r="E20" s="50"/>
      <c r="F20" s="50"/>
      <c r="G20" s="50"/>
      <c r="H20" s="51"/>
    </row>
    <row r="21" spans="2:8" ht="14.25" customHeight="1" x14ac:dyDescent="0.3">
      <c r="B21" s="52"/>
      <c r="C21" s="196"/>
      <c r="D21" s="196"/>
      <c r="E21" s="197"/>
      <c r="F21" s="197"/>
      <c r="G21" s="197"/>
      <c r="H21" s="53"/>
    </row>
    <row r="22" spans="2:8" ht="36" customHeight="1" x14ac:dyDescent="0.3">
      <c r="B22" s="180" t="s">
        <v>23</v>
      </c>
      <c r="C22" s="181"/>
      <c r="D22" s="181"/>
      <c r="E22" s="181"/>
      <c r="F22" s="181"/>
      <c r="G22" s="181"/>
      <c r="H22" s="182"/>
    </row>
    <row r="23" spans="2:8" x14ac:dyDescent="0.3">
      <c r="B23" s="54"/>
      <c r="C23" s="55"/>
      <c r="D23" s="55"/>
      <c r="E23" s="183"/>
      <c r="F23" s="183"/>
      <c r="G23" s="48"/>
      <c r="H23" s="56"/>
    </row>
    <row r="24" spans="2:8" ht="13.5" thickBot="1" x14ac:dyDescent="0.35">
      <c r="B24" s="57"/>
      <c r="C24" s="58"/>
      <c r="D24" s="58"/>
      <c r="E24" s="58"/>
      <c r="F24" s="58"/>
      <c r="G24" s="58"/>
      <c r="H24" s="59"/>
    </row>
    <row r="25" spans="2:8" x14ac:dyDescent="0.3"/>
    <row r="26" spans="2:8" ht="29.25" customHeight="1" x14ac:dyDescent="0.3"/>
    <row r="27" spans="2:8" ht="26.25" customHeight="1" x14ac:dyDescent="0.3"/>
    <row r="28" spans="2:8" ht="43.5" customHeight="1" x14ac:dyDescent="0.3"/>
    <row r="29" spans="2:8" ht="53.25" customHeight="1" x14ac:dyDescent="0.3"/>
    <row r="30" spans="2:8" x14ac:dyDescent="0.3"/>
    <row r="31" spans="2:8" x14ac:dyDescent="0.3"/>
    <row r="32" spans="2:8" x14ac:dyDescent="0.3"/>
    <row r="33" x14ac:dyDescent="0.3"/>
    <row r="34" x14ac:dyDescent="0.3"/>
    <row r="35"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x14ac:dyDescent="0.3"/>
    <row r="52" x14ac:dyDescent="0.3"/>
    <row r="54" x14ac:dyDescent="0.3"/>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E55" zoomScaleNormal="80" workbookViewId="0">
      <selection activeCell="I55" sqref="I55"/>
    </sheetView>
  </sheetViews>
  <sheetFormatPr baseColWidth="10" defaultColWidth="11.453125" defaultRowHeight="15.5" x14ac:dyDescent="0.35"/>
  <cols>
    <col min="1" max="1" width="3" style="44" hidden="1" customWidth="1"/>
    <col min="2" max="2" width="9.453125" style="44" customWidth="1"/>
    <col min="3" max="3" width="25.453125" style="44" customWidth="1"/>
    <col min="4" max="4" width="46.453125" style="44" customWidth="1"/>
    <col min="5" max="5" width="10.1796875" style="66" customWidth="1"/>
    <col min="6" max="6" width="44.453125" style="66" customWidth="1"/>
    <col min="7" max="7" width="15.453125" style="44" customWidth="1"/>
    <col min="8" max="8" width="79.81640625" style="150" customWidth="1"/>
    <col min="9" max="9" width="43" style="44" customWidth="1"/>
    <col min="10" max="12" width="11.453125" style="69" customWidth="1"/>
    <col min="13" max="24" width="11.453125" style="44" customWidth="1"/>
    <col min="25" max="16384" width="11.453125" style="44"/>
  </cols>
  <sheetData>
    <row r="1" spans="1:32" x14ac:dyDescent="0.35">
      <c r="B1" s="43"/>
      <c r="C1" s="43"/>
      <c r="D1" s="43"/>
      <c r="E1" s="65"/>
      <c r="F1" s="65"/>
      <c r="G1" s="43"/>
      <c r="H1" s="145"/>
      <c r="I1" s="43"/>
      <c r="J1" s="67"/>
      <c r="K1" s="67"/>
      <c r="L1" s="67"/>
      <c r="M1" s="43"/>
      <c r="N1" s="43"/>
      <c r="O1" s="43"/>
      <c r="P1" s="43"/>
      <c r="Q1" s="43"/>
      <c r="R1" s="43"/>
      <c r="S1" s="43"/>
      <c r="T1" s="43"/>
      <c r="U1" s="43"/>
      <c r="V1" s="43"/>
      <c r="W1" s="43"/>
      <c r="X1" s="43"/>
    </row>
    <row r="2" spans="1:32" x14ac:dyDescent="0.35">
      <c r="B2" s="43"/>
      <c r="C2" s="43"/>
      <c r="D2" s="43"/>
      <c r="E2" s="65"/>
      <c r="F2" s="65"/>
      <c r="G2" s="43"/>
      <c r="H2" s="145"/>
      <c r="I2" s="43"/>
      <c r="J2" s="67"/>
      <c r="K2" s="67"/>
      <c r="L2" s="67"/>
      <c r="M2" s="43"/>
      <c r="N2" s="43"/>
      <c r="O2" s="43"/>
      <c r="P2" s="43"/>
      <c r="Q2" s="43"/>
      <c r="R2" s="43"/>
      <c r="S2" s="43"/>
      <c r="T2" s="43"/>
      <c r="U2" s="43"/>
      <c r="V2" s="43"/>
      <c r="W2" s="43"/>
      <c r="X2" s="43"/>
    </row>
    <row r="3" spans="1:32" x14ac:dyDescent="0.35">
      <c r="B3" s="43"/>
      <c r="C3" s="43"/>
      <c r="D3" s="43"/>
      <c r="E3" s="65"/>
      <c r="F3" s="65"/>
      <c r="G3" s="43"/>
      <c r="H3" s="145"/>
      <c r="I3" s="43"/>
      <c r="J3" s="67"/>
      <c r="K3" s="67"/>
      <c r="L3" s="67"/>
      <c r="M3" s="43"/>
      <c r="N3" s="43"/>
      <c r="O3" s="43"/>
      <c r="P3" s="43"/>
      <c r="Q3" s="43"/>
      <c r="R3" s="43"/>
      <c r="S3" s="43"/>
      <c r="T3" s="43"/>
      <c r="U3" s="43"/>
      <c r="V3" s="43"/>
      <c r="W3" s="43"/>
      <c r="X3" s="43"/>
    </row>
    <row r="4" spans="1:32" x14ac:dyDescent="0.35">
      <c r="B4" s="43"/>
      <c r="C4" s="43"/>
      <c r="D4" s="43"/>
      <c r="E4" s="65"/>
      <c r="F4" s="65"/>
      <c r="G4" s="43"/>
      <c r="H4" s="145"/>
      <c r="I4" s="43"/>
      <c r="J4" s="67"/>
      <c r="K4" s="67"/>
      <c r="L4" s="67"/>
      <c r="M4" s="43"/>
      <c r="N4" s="43"/>
      <c r="O4" s="43"/>
      <c r="P4" s="43"/>
      <c r="Q4" s="43"/>
      <c r="R4" s="43"/>
      <c r="S4" s="43"/>
      <c r="T4" s="43"/>
      <c r="U4" s="43"/>
      <c r="V4" s="43"/>
      <c r="W4" s="43"/>
      <c r="X4" s="43"/>
    </row>
    <row r="5" spans="1:32" x14ac:dyDescent="0.35">
      <c r="B5" s="43"/>
      <c r="C5" s="43"/>
      <c r="D5" s="43"/>
      <c r="E5" s="65"/>
      <c r="F5" s="65"/>
      <c r="G5" s="43"/>
      <c r="H5" s="145"/>
      <c r="I5" s="43"/>
      <c r="J5" s="67"/>
      <c r="K5" s="67"/>
      <c r="L5" s="67"/>
      <c r="M5" s="43"/>
      <c r="N5" s="43"/>
      <c r="O5" s="43"/>
      <c r="P5" s="43"/>
      <c r="Q5" s="43"/>
      <c r="R5" s="43"/>
      <c r="S5" s="43"/>
      <c r="T5" s="43"/>
      <c r="U5" s="43"/>
      <c r="V5" s="43"/>
      <c r="W5" s="43"/>
      <c r="X5" s="43"/>
    </row>
    <row r="6" spans="1:32" x14ac:dyDescent="0.35">
      <c r="B6" s="43"/>
      <c r="C6" s="43"/>
      <c r="D6" s="43"/>
      <c r="E6" s="65"/>
      <c r="F6" s="65"/>
      <c r="G6" s="43"/>
      <c r="H6" s="145"/>
      <c r="I6" s="43"/>
      <c r="J6" s="67"/>
      <c r="K6" s="67"/>
      <c r="L6" s="67"/>
      <c r="M6" s="43"/>
      <c r="N6" s="43"/>
      <c r="O6" s="43"/>
      <c r="P6" s="43"/>
      <c r="Q6" s="43"/>
      <c r="R6" s="43"/>
      <c r="S6" s="43"/>
      <c r="T6" s="43"/>
      <c r="U6" s="43"/>
      <c r="V6" s="43"/>
      <c r="W6" s="43"/>
      <c r="X6" s="43"/>
    </row>
    <row r="7" spans="1:32" x14ac:dyDescent="0.35">
      <c r="B7" s="43"/>
      <c r="C7" s="43"/>
      <c r="D7" s="43"/>
      <c r="E7" s="65"/>
      <c r="F7" s="65"/>
      <c r="G7" s="43"/>
      <c r="H7" s="145"/>
      <c r="I7" s="43"/>
      <c r="J7" s="67"/>
      <c r="K7" s="67"/>
      <c r="L7" s="67"/>
      <c r="M7" s="43"/>
      <c r="N7" s="43"/>
      <c r="O7" s="43"/>
      <c r="P7" s="43"/>
      <c r="Q7" s="43"/>
      <c r="R7" s="43"/>
      <c r="S7" s="43"/>
      <c r="T7" s="43"/>
      <c r="U7" s="43"/>
      <c r="V7" s="43"/>
      <c r="W7" s="43"/>
      <c r="X7" s="43"/>
    </row>
    <row r="8" spans="1:32" x14ac:dyDescent="0.35">
      <c r="B8" s="43"/>
      <c r="C8" s="43"/>
      <c r="D8" s="43"/>
      <c r="E8" s="65"/>
      <c r="F8" s="65"/>
      <c r="G8" s="43"/>
      <c r="H8" s="145"/>
      <c r="I8" s="43"/>
      <c r="J8" s="67"/>
      <c r="K8" s="67"/>
      <c r="L8" s="67"/>
      <c r="M8" s="43"/>
      <c r="N8" s="43"/>
      <c r="O8" s="43"/>
      <c r="P8" s="43"/>
      <c r="Q8" s="43"/>
      <c r="R8" s="43"/>
      <c r="S8" s="43"/>
      <c r="T8" s="43"/>
      <c r="U8" s="43"/>
      <c r="V8" s="43"/>
      <c r="W8" s="43"/>
      <c r="X8" s="43"/>
    </row>
    <row r="9" spans="1:32" x14ac:dyDescent="0.35">
      <c r="B9" s="43"/>
      <c r="C9" s="43"/>
      <c r="D9" s="43"/>
      <c r="E9" s="65"/>
      <c r="F9" s="65"/>
      <c r="G9" s="43"/>
      <c r="H9" s="145"/>
      <c r="I9" s="43"/>
      <c r="J9" s="67"/>
      <c r="K9" s="67"/>
      <c r="L9" s="67"/>
      <c r="M9" s="43"/>
      <c r="N9" s="43"/>
      <c r="O9" s="43"/>
      <c r="P9" s="43"/>
      <c r="Q9" s="43"/>
      <c r="R9" s="43"/>
      <c r="S9" s="43"/>
      <c r="T9" s="43"/>
      <c r="U9" s="43"/>
      <c r="V9" s="43"/>
      <c r="W9" s="43"/>
      <c r="X9" s="43"/>
    </row>
    <row r="10" spans="1:32" x14ac:dyDescent="0.35">
      <c r="B10" s="43"/>
      <c r="C10" s="43"/>
      <c r="D10" s="43"/>
      <c r="E10" s="65"/>
      <c r="F10" s="65"/>
      <c r="G10" s="43"/>
      <c r="H10" s="145"/>
      <c r="I10" s="43"/>
      <c r="J10" s="67"/>
      <c r="K10" s="67"/>
      <c r="L10" s="67"/>
      <c r="M10" s="43"/>
      <c r="N10" s="43"/>
      <c r="O10" s="43"/>
      <c r="P10" s="43"/>
      <c r="Q10" s="43"/>
      <c r="R10" s="43"/>
      <c r="S10" s="43"/>
      <c r="T10" s="43"/>
      <c r="U10" s="43"/>
      <c r="V10" s="43"/>
      <c r="W10" s="43"/>
      <c r="X10" s="43"/>
    </row>
    <row r="11" spans="1:32" x14ac:dyDescent="0.35">
      <c r="B11" s="43"/>
      <c r="C11" s="43"/>
      <c r="D11" s="43"/>
      <c r="E11" s="65"/>
      <c r="F11" s="65"/>
      <c r="G11" s="43"/>
      <c r="H11" s="145"/>
      <c r="I11" s="43"/>
      <c r="J11" s="67"/>
      <c r="K11" s="67"/>
      <c r="L11" s="67"/>
      <c r="M11" s="43"/>
      <c r="N11" s="43"/>
      <c r="O11" s="43"/>
      <c r="P11" s="43"/>
      <c r="Q11" s="43"/>
      <c r="R11" s="43"/>
      <c r="S11" s="43"/>
      <c r="T11" s="43"/>
      <c r="U11" s="43"/>
      <c r="V11" s="43"/>
      <c r="W11" s="43"/>
      <c r="X11" s="43"/>
    </row>
    <row r="12" spans="1:32" x14ac:dyDescent="0.35">
      <c r="B12" s="43"/>
      <c r="C12" s="43"/>
      <c r="D12" s="43"/>
      <c r="E12" s="65"/>
      <c r="F12" s="65"/>
      <c r="G12" s="43"/>
      <c r="H12" s="145"/>
      <c r="I12" s="43"/>
      <c r="J12" s="67"/>
      <c r="K12" s="67"/>
      <c r="L12" s="67"/>
      <c r="M12" s="43"/>
      <c r="N12" s="43"/>
      <c r="O12" s="43"/>
      <c r="P12" s="43"/>
      <c r="Q12" s="43"/>
      <c r="R12" s="43"/>
      <c r="S12" s="43"/>
      <c r="T12" s="43"/>
      <c r="U12" s="43"/>
      <c r="V12" s="43"/>
      <c r="W12" s="43"/>
      <c r="X12" s="43"/>
    </row>
    <row r="13" spans="1:32" x14ac:dyDescent="0.35">
      <c r="B13" s="43"/>
      <c r="C13" s="43"/>
      <c r="D13" s="43"/>
      <c r="E13" s="65"/>
      <c r="F13" s="65"/>
      <c r="G13" s="43"/>
      <c r="H13" s="145"/>
      <c r="I13" s="43"/>
      <c r="J13" s="67"/>
      <c r="K13" s="67"/>
      <c r="L13" s="67"/>
      <c r="M13" s="43"/>
      <c r="N13" s="43"/>
      <c r="O13" s="43"/>
      <c r="P13" s="43"/>
      <c r="Q13" s="43"/>
      <c r="R13" s="43"/>
      <c r="S13" s="43"/>
      <c r="T13" s="43"/>
      <c r="U13" s="43"/>
      <c r="V13" s="43"/>
      <c r="W13" s="43"/>
      <c r="X13" s="43"/>
    </row>
    <row r="14" spans="1:32" s="46" customFormat="1" ht="49.5" customHeight="1" x14ac:dyDescent="0.35">
      <c r="B14" s="234" t="s">
        <v>24</v>
      </c>
      <c r="C14" s="234"/>
      <c r="D14" s="234"/>
      <c r="E14" s="234"/>
      <c r="F14" s="234"/>
      <c r="G14" s="234"/>
      <c r="H14" s="234"/>
      <c r="I14" s="234"/>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4">
      <c r="B15" s="71" t="s">
        <v>25</v>
      </c>
      <c r="C15" s="71" t="s">
        <v>6</v>
      </c>
      <c r="D15" s="72" t="s">
        <v>8</v>
      </c>
      <c r="E15" s="73" t="s">
        <v>26</v>
      </c>
      <c r="F15" s="73" t="s">
        <v>27</v>
      </c>
      <c r="G15" s="73" t="s">
        <v>28</v>
      </c>
      <c r="H15" s="146"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35">
      <c r="A16" s="94" t="str">
        <f>1&amp;E16</f>
        <v>1a</v>
      </c>
      <c r="B16" s="245" t="s">
        <v>31</v>
      </c>
      <c r="C16" s="209" t="s">
        <v>32</v>
      </c>
      <c r="D16" s="242" t="s">
        <v>33</v>
      </c>
      <c r="E16" s="74" t="s">
        <v>34</v>
      </c>
      <c r="F16" s="75" t="s">
        <v>35</v>
      </c>
      <c r="G16" s="102" t="s">
        <v>36</v>
      </c>
      <c r="H16" s="147" t="s">
        <v>37</v>
      </c>
      <c r="I16" s="95" t="str">
        <f>+IF(G16="Si","Mantenimiento del control",IF(G16="En proceso","Oportunidad de mejora","Deficiencia de control"))</f>
        <v>Deficiencia de control</v>
      </c>
      <c r="J16" s="96">
        <f t="shared" ref="J16:J27" si="0">+IF(G16="Si",20,IF(G16="En proceso",10,0))</f>
        <v>0</v>
      </c>
      <c r="K16" s="96">
        <v>0.123</v>
      </c>
      <c r="L16" s="96">
        <f>+J16+K16</f>
        <v>0.123</v>
      </c>
    </row>
    <row r="17" spans="1:32" s="46" customFormat="1" ht="62" x14ac:dyDescent="0.35">
      <c r="A17" s="94" t="str">
        <f t="shared" ref="A17:A27" si="1">1&amp;E17</f>
        <v>1b</v>
      </c>
      <c r="B17" s="246"/>
      <c r="C17" s="210"/>
      <c r="D17" s="243"/>
      <c r="E17" s="76" t="s">
        <v>38</v>
      </c>
      <c r="F17" s="77" t="s">
        <v>39</v>
      </c>
      <c r="G17" s="103" t="s">
        <v>40</v>
      </c>
      <c r="H17" s="151" t="s">
        <v>41</v>
      </c>
      <c r="I17" s="97" t="str">
        <f t="shared" ref="I17:I59" si="2">+IF(G17="Si","Mantenimiento del control",IF(G17="En proceso","Oportunidad de mejora","Deficiencia de control"))</f>
        <v>Mantenimiento del control</v>
      </c>
      <c r="J17" s="98">
        <f t="shared" si="0"/>
        <v>20</v>
      </c>
      <c r="K17" s="96">
        <v>0.1234</v>
      </c>
      <c r="L17" s="96">
        <f t="shared" ref="L17:L59" si="3">+J17+K17</f>
        <v>20.1234</v>
      </c>
    </row>
    <row r="18" spans="1:32" s="46" customFormat="1" ht="62" x14ac:dyDescent="0.35">
      <c r="A18" s="94" t="str">
        <f t="shared" si="1"/>
        <v>1c</v>
      </c>
      <c r="B18" s="246"/>
      <c r="C18" s="210"/>
      <c r="D18" s="243"/>
      <c r="E18" s="76" t="s">
        <v>42</v>
      </c>
      <c r="F18" s="78" t="s">
        <v>43</v>
      </c>
      <c r="G18" s="103" t="s">
        <v>40</v>
      </c>
      <c r="H18" s="148" t="s">
        <v>228</v>
      </c>
      <c r="I18" s="99" t="str">
        <f t="shared" si="2"/>
        <v>Mantenimiento del control</v>
      </c>
      <c r="J18" s="98">
        <f t="shared" si="0"/>
        <v>20</v>
      </c>
      <c r="K18" s="96">
        <v>0.12345</v>
      </c>
      <c r="L18" s="96">
        <f t="shared" si="3"/>
        <v>20.123449999999998</v>
      </c>
    </row>
    <row r="19" spans="1:32" s="46" customFormat="1" ht="46.5" x14ac:dyDescent="0.35">
      <c r="A19" s="94" t="str">
        <f t="shared" si="1"/>
        <v>1d</v>
      </c>
      <c r="B19" s="246"/>
      <c r="C19" s="210"/>
      <c r="D19" s="243"/>
      <c r="E19" s="76" t="s">
        <v>44</v>
      </c>
      <c r="F19" s="78" t="s">
        <v>45</v>
      </c>
      <c r="G19" s="103" t="s">
        <v>40</v>
      </c>
      <c r="H19" s="148" t="s">
        <v>46</v>
      </c>
      <c r="I19" s="99" t="str">
        <f t="shared" si="2"/>
        <v>Mantenimiento del control</v>
      </c>
      <c r="J19" s="98">
        <f t="shared" si="0"/>
        <v>20</v>
      </c>
      <c r="K19" s="96">
        <v>0.123456</v>
      </c>
      <c r="L19" s="96">
        <f t="shared" si="3"/>
        <v>20.123456000000001</v>
      </c>
    </row>
    <row r="20" spans="1:32" s="46" customFormat="1" ht="46.5" x14ac:dyDescent="0.35">
      <c r="A20" s="94" t="str">
        <f t="shared" si="1"/>
        <v>1e</v>
      </c>
      <c r="B20" s="246"/>
      <c r="C20" s="210"/>
      <c r="D20" s="243"/>
      <c r="E20" s="76" t="s">
        <v>47</v>
      </c>
      <c r="F20" s="78" t="s">
        <v>48</v>
      </c>
      <c r="G20" s="103" t="s">
        <v>40</v>
      </c>
      <c r="H20" s="148" t="s">
        <v>49</v>
      </c>
      <c r="I20" s="99" t="str">
        <f t="shared" si="2"/>
        <v>Mantenimiento del control</v>
      </c>
      <c r="J20" s="98">
        <f t="shared" si="0"/>
        <v>20</v>
      </c>
      <c r="K20" s="96">
        <v>0.12345678</v>
      </c>
      <c r="L20" s="96">
        <f t="shared" si="3"/>
        <v>20.123456780000001</v>
      </c>
    </row>
    <row r="21" spans="1:32" s="46" customFormat="1" ht="77.5" x14ac:dyDescent="0.35">
      <c r="A21" s="94" t="str">
        <f t="shared" si="1"/>
        <v>1f</v>
      </c>
      <c r="B21" s="246"/>
      <c r="C21" s="210"/>
      <c r="D21" s="243"/>
      <c r="E21" s="76" t="s">
        <v>50</v>
      </c>
      <c r="F21" s="78" t="s">
        <v>51</v>
      </c>
      <c r="G21" s="103" t="s">
        <v>40</v>
      </c>
      <c r="H21" s="148" t="s">
        <v>217</v>
      </c>
      <c r="I21" s="99" t="str">
        <f t="shared" si="2"/>
        <v>Mantenimiento del control</v>
      </c>
      <c r="J21" s="98">
        <f t="shared" si="0"/>
        <v>20</v>
      </c>
      <c r="K21" s="96">
        <v>0.123456789</v>
      </c>
      <c r="L21" s="96">
        <f t="shared" si="3"/>
        <v>20.123456788999999</v>
      </c>
    </row>
    <row r="22" spans="1:32" s="46" customFormat="1" ht="65.25" customHeight="1" x14ac:dyDescent="0.35">
      <c r="A22" s="94" t="str">
        <f t="shared" si="1"/>
        <v>1g</v>
      </c>
      <c r="B22" s="246"/>
      <c r="C22" s="210"/>
      <c r="D22" s="243"/>
      <c r="E22" s="76" t="s">
        <v>53</v>
      </c>
      <c r="F22" s="78" t="s">
        <v>54</v>
      </c>
      <c r="G22" s="103" t="s">
        <v>40</v>
      </c>
      <c r="H22" s="148" t="s">
        <v>218</v>
      </c>
      <c r="I22" s="99" t="str">
        <f t="shared" si="2"/>
        <v>Mantenimiento del control</v>
      </c>
      <c r="J22" s="98">
        <f t="shared" si="0"/>
        <v>20</v>
      </c>
      <c r="K22" s="96">
        <v>0.12345678910000001</v>
      </c>
      <c r="L22" s="96">
        <f t="shared" si="3"/>
        <v>20.1234567891</v>
      </c>
    </row>
    <row r="23" spans="1:32" s="46" customFormat="1" ht="124" x14ac:dyDescent="0.35">
      <c r="A23" s="94" t="str">
        <f t="shared" si="1"/>
        <v>1h</v>
      </c>
      <c r="B23" s="246"/>
      <c r="C23" s="210"/>
      <c r="D23" s="243"/>
      <c r="E23" s="76" t="s">
        <v>55</v>
      </c>
      <c r="F23" s="78" t="s">
        <v>56</v>
      </c>
      <c r="G23" s="103" t="s">
        <v>52</v>
      </c>
      <c r="H23" s="148" t="s">
        <v>231</v>
      </c>
      <c r="I23" s="99" t="str">
        <f t="shared" si="2"/>
        <v>Oportunidad de mejora</v>
      </c>
      <c r="J23" s="98">
        <f t="shared" si="0"/>
        <v>10</v>
      </c>
      <c r="K23" s="96">
        <v>0.12345678911999999</v>
      </c>
      <c r="L23" s="96">
        <f t="shared" si="3"/>
        <v>10.12345678912</v>
      </c>
    </row>
    <row r="24" spans="1:32" s="46" customFormat="1" ht="77.5" x14ac:dyDescent="0.35">
      <c r="A24" s="94" t="str">
        <f t="shared" si="1"/>
        <v>1i</v>
      </c>
      <c r="B24" s="246"/>
      <c r="C24" s="210"/>
      <c r="D24" s="243"/>
      <c r="E24" s="76" t="s">
        <v>57</v>
      </c>
      <c r="F24" s="78" t="s">
        <v>58</v>
      </c>
      <c r="G24" s="103" t="s">
        <v>40</v>
      </c>
      <c r="H24" s="148" t="s">
        <v>219</v>
      </c>
      <c r="I24" s="99" t="str">
        <f t="shared" si="2"/>
        <v>Mantenimiento del control</v>
      </c>
      <c r="J24" s="98">
        <f t="shared" si="0"/>
        <v>20</v>
      </c>
      <c r="K24" s="96">
        <v>0.123456789123</v>
      </c>
      <c r="L24" s="96">
        <f t="shared" si="3"/>
        <v>20.123456789123001</v>
      </c>
    </row>
    <row r="25" spans="1:32" s="46" customFormat="1" ht="52.5" customHeight="1" x14ac:dyDescent="0.35">
      <c r="A25" s="94" t="str">
        <f t="shared" si="1"/>
        <v>1j</v>
      </c>
      <c r="B25" s="246"/>
      <c r="C25" s="210"/>
      <c r="D25" s="243"/>
      <c r="E25" s="76" t="s">
        <v>59</v>
      </c>
      <c r="F25" s="78" t="s">
        <v>60</v>
      </c>
      <c r="G25" s="103" t="s">
        <v>36</v>
      </c>
      <c r="H25" s="148" t="s">
        <v>61</v>
      </c>
      <c r="I25" s="99" t="str">
        <f t="shared" si="2"/>
        <v>Deficiencia de control</v>
      </c>
      <c r="J25" s="98">
        <f t="shared" si="0"/>
        <v>0</v>
      </c>
      <c r="K25" s="96">
        <v>0.1234567891234</v>
      </c>
      <c r="L25" s="96">
        <f t="shared" si="3"/>
        <v>0.1234567891234</v>
      </c>
    </row>
    <row r="26" spans="1:32" s="46" customFormat="1" ht="93" x14ac:dyDescent="0.35">
      <c r="A26" s="94" t="str">
        <f t="shared" si="1"/>
        <v>1k</v>
      </c>
      <c r="B26" s="246"/>
      <c r="C26" s="210"/>
      <c r="D26" s="243"/>
      <c r="E26" s="76" t="s">
        <v>62</v>
      </c>
      <c r="F26" s="78" t="s">
        <v>63</v>
      </c>
      <c r="G26" s="103" t="s">
        <v>40</v>
      </c>
      <c r="H26" s="148" t="s">
        <v>64</v>
      </c>
      <c r="I26" s="99" t="str">
        <f t="shared" si="2"/>
        <v>Mantenimiento del control</v>
      </c>
      <c r="J26" s="98">
        <f t="shared" si="0"/>
        <v>20</v>
      </c>
      <c r="K26" s="96">
        <v>0.12345678912345</v>
      </c>
      <c r="L26" s="96">
        <f t="shared" si="3"/>
        <v>20.123456789123448</v>
      </c>
    </row>
    <row r="27" spans="1:32" s="46" customFormat="1" ht="31.5" thickBot="1" x14ac:dyDescent="0.4">
      <c r="A27" s="94" t="str">
        <f t="shared" si="1"/>
        <v>1l</v>
      </c>
      <c r="B27" s="247"/>
      <c r="C27" s="211"/>
      <c r="D27" s="244"/>
      <c r="E27" s="79" t="s">
        <v>65</v>
      </c>
      <c r="F27" s="80" t="s">
        <v>66</v>
      </c>
      <c r="G27" s="104" t="s">
        <v>40</v>
      </c>
      <c r="H27" s="149" t="s">
        <v>67</v>
      </c>
      <c r="I27" s="100" t="str">
        <f t="shared" si="2"/>
        <v>Mantenimiento del control</v>
      </c>
      <c r="J27" s="98">
        <f t="shared" si="0"/>
        <v>20</v>
      </c>
      <c r="K27" s="96">
        <v>0.12345678912345601</v>
      </c>
      <c r="L27" s="96">
        <f t="shared" si="3"/>
        <v>20.123456789123455</v>
      </c>
    </row>
    <row r="28" spans="1:32" s="46" customFormat="1" ht="124" x14ac:dyDescent="0.35">
      <c r="A28" s="94" t="str">
        <f>2&amp;E28</f>
        <v>2a</v>
      </c>
      <c r="B28" s="248" t="s">
        <v>68</v>
      </c>
      <c r="C28" s="212" t="s">
        <v>69</v>
      </c>
      <c r="D28" s="251" t="s">
        <v>70</v>
      </c>
      <c r="E28" s="74" t="s">
        <v>34</v>
      </c>
      <c r="F28" s="75" t="s">
        <v>71</v>
      </c>
      <c r="G28" s="102" t="s">
        <v>52</v>
      </c>
      <c r="H28" s="147" t="s">
        <v>232</v>
      </c>
      <c r="I28" s="95" t="str">
        <f t="shared" si="2"/>
        <v>Oportunidad de mejora</v>
      </c>
      <c r="J28" s="96">
        <f>+IF(G28="Si",40,IF(G28="En proceso",30,20))</f>
        <v>30</v>
      </c>
      <c r="K28" s="96">
        <v>0.23</v>
      </c>
      <c r="L28" s="96">
        <f t="shared" si="3"/>
        <v>30.23</v>
      </c>
    </row>
    <row r="29" spans="1:32" s="46" customFormat="1" ht="93" x14ac:dyDescent="0.35">
      <c r="A29" s="94" t="str">
        <f t="shared" ref="A29:A31" si="4">2&amp;E29</f>
        <v>2b</v>
      </c>
      <c r="B29" s="249"/>
      <c r="C29" s="213"/>
      <c r="D29" s="227"/>
      <c r="E29" s="76" t="s">
        <v>38</v>
      </c>
      <c r="F29" s="78" t="s">
        <v>72</v>
      </c>
      <c r="G29" s="103" t="s">
        <v>40</v>
      </c>
      <c r="H29" s="148" t="s">
        <v>220</v>
      </c>
      <c r="I29" s="99" t="str">
        <f t="shared" si="2"/>
        <v>Mantenimiento del control</v>
      </c>
      <c r="J29" s="96">
        <f>+IF(G29="Si",40,IF(G29="En proceso",30,20))</f>
        <v>40</v>
      </c>
      <c r="K29" s="96">
        <v>0.23400000000000001</v>
      </c>
      <c r="L29" s="96">
        <f t="shared" si="3"/>
        <v>40.234000000000002</v>
      </c>
    </row>
    <row r="30" spans="1:32" s="46" customFormat="1" ht="77.5" x14ac:dyDescent="0.35">
      <c r="A30" s="94" t="str">
        <f t="shared" si="4"/>
        <v>2c</v>
      </c>
      <c r="B30" s="249"/>
      <c r="C30" s="213"/>
      <c r="D30" s="227"/>
      <c r="E30" s="76" t="s">
        <v>42</v>
      </c>
      <c r="F30" s="78" t="s">
        <v>73</v>
      </c>
      <c r="G30" s="103" t="s">
        <v>40</v>
      </c>
      <c r="H30" s="148" t="s">
        <v>230</v>
      </c>
      <c r="I30" s="99" t="str">
        <f t="shared" si="2"/>
        <v>Mantenimiento del control</v>
      </c>
      <c r="J30" s="96">
        <f>+IF(G30="Si",40,IF(G30="En proceso",30,20))</f>
        <v>40</v>
      </c>
      <c r="K30" s="96">
        <v>0.23449999999999999</v>
      </c>
      <c r="L30" s="96">
        <f t="shared" si="3"/>
        <v>40.234499999999997</v>
      </c>
    </row>
    <row r="31" spans="1:32" s="46" customFormat="1" ht="109" thickBot="1" x14ac:dyDescent="0.4">
      <c r="A31" s="94" t="str">
        <f t="shared" si="4"/>
        <v>2d</v>
      </c>
      <c r="B31" s="250"/>
      <c r="C31" s="214"/>
      <c r="D31" s="252"/>
      <c r="E31" s="79" t="s">
        <v>44</v>
      </c>
      <c r="F31" s="80" t="s">
        <v>74</v>
      </c>
      <c r="G31" s="104" t="s">
        <v>52</v>
      </c>
      <c r="H31" s="149" t="s">
        <v>221</v>
      </c>
      <c r="I31" s="100" t="str">
        <f t="shared" si="2"/>
        <v>Oportunidad de mejora</v>
      </c>
      <c r="J31" s="96">
        <f>+IF(G31="Si",40,IF(G31="En proceso",30,20))</f>
        <v>30</v>
      </c>
      <c r="K31" s="96">
        <v>0.23455999999999999</v>
      </c>
      <c r="L31" s="96">
        <f t="shared" si="3"/>
        <v>30.234559999999998</v>
      </c>
    </row>
    <row r="32" spans="1:32" s="46" customFormat="1" ht="62" x14ac:dyDescent="0.35">
      <c r="A32" s="94" t="str">
        <f>3&amp;E32</f>
        <v>3a</v>
      </c>
      <c r="B32" s="224" t="s">
        <v>75</v>
      </c>
      <c r="C32" s="224" t="s">
        <v>69</v>
      </c>
      <c r="D32" s="225" t="s">
        <v>76</v>
      </c>
      <c r="E32" s="76" t="s">
        <v>34</v>
      </c>
      <c r="F32" s="78" t="s">
        <v>77</v>
      </c>
      <c r="G32" s="103" t="s">
        <v>40</v>
      </c>
      <c r="H32" s="148" t="s">
        <v>78</v>
      </c>
      <c r="I32" s="99" t="str">
        <f t="shared" si="2"/>
        <v>Mantenimiento del control</v>
      </c>
      <c r="J32" s="96">
        <f t="shared" ref="J32:J37" si="5">+IF(G32="Si",40,IF(G32="En proceso",30,20))</f>
        <v>40</v>
      </c>
      <c r="K32" s="101">
        <v>0.234567</v>
      </c>
      <c r="L32" s="96">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62" x14ac:dyDescent="0.35">
      <c r="A33" s="94" t="str">
        <f t="shared" ref="A33:A34" si="7">3&amp;E33</f>
        <v>3b</v>
      </c>
      <c r="B33" s="224"/>
      <c r="C33" s="224"/>
      <c r="D33" s="225"/>
      <c r="E33" s="76" t="s">
        <v>38</v>
      </c>
      <c r="F33" s="78" t="s">
        <v>79</v>
      </c>
      <c r="G33" s="103" t="s">
        <v>40</v>
      </c>
      <c r="H33" s="148" t="s">
        <v>222</v>
      </c>
      <c r="I33" s="99" t="str">
        <f t="shared" si="2"/>
        <v>Mantenimiento del control</v>
      </c>
      <c r="J33" s="96">
        <f t="shared" si="5"/>
        <v>40</v>
      </c>
      <c r="K33" s="101">
        <v>0.23456779999999999</v>
      </c>
      <c r="L33" s="96">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2.5" thickBot="1" x14ac:dyDescent="0.4">
      <c r="A34" s="94" t="str">
        <f t="shared" si="7"/>
        <v>3c</v>
      </c>
      <c r="B34" s="224"/>
      <c r="C34" s="224"/>
      <c r="D34" s="225"/>
      <c r="E34" s="76" t="s">
        <v>42</v>
      </c>
      <c r="F34" s="78" t="s">
        <v>80</v>
      </c>
      <c r="G34" s="103" t="s">
        <v>40</v>
      </c>
      <c r="H34" s="148" t="s">
        <v>233</v>
      </c>
      <c r="I34" s="99" t="str">
        <f t="shared" si="2"/>
        <v>Mantenimiento del control</v>
      </c>
      <c r="J34" s="96">
        <f t="shared" si="5"/>
        <v>40</v>
      </c>
      <c r="K34" s="101">
        <v>0.23456789</v>
      </c>
      <c r="L34" s="96">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93" x14ac:dyDescent="0.35">
      <c r="A35" s="94" t="str">
        <f>4&amp;E35</f>
        <v>4a</v>
      </c>
      <c r="B35" s="226" t="s">
        <v>81</v>
      </c>
      <c r="C35" s="213" t="s">
        <v>69</v>
      </c>
      <c r="D35" s="227" t="s">
        <v>82</v>
      </c>
      <c r="E35" s="74" t="s">
        <v>34</v>
      </c>
      <c r="F35" s="75" t="s">
        <v>83</v>
      </c>
      <c r="G35" s="102" t="s">
        <v>40</v>
      </c>
      <c r="H35" s="147" t="s">
        <v>227</v>
      </c>
      <c r="I35" s="95" t="str">
        <f t="shared" si="2"/>
        <v>Mantenimiento del control</v>
      </c>
      <c r="J35" s="96">
        <f t="shared" si="5"/>
        <v>40</v>
      </c>
      <c r="K35" s="101">
        <v>0.23456789119999999</v>
      </c>
      <c r="L35" s="96">
        <f t="shared" si="6"/>
        <v>40.234567891200001</v>
      </c>
      <c r="M35" s="45"/>
      <c r="N35" s="45"/>
      <c r="O35" s="45"/>
      <c r="P35" s="45"/>
      <c r="Q35" s="45"/>
    </row>
    <row r="36" spans="1:32" s="46" customFormat="1" ht="46.5" x14ac:dyDescent="0.35">
      <c r="A36" s="94" t="str">
        <f t="shared" ref="A36:A37" si="8">4&amp;E36</f>
        <v>4b</v>
      </c>
      <c r="B36" s="226"/>
      <c r="C36" s="213"/>
      <c r="D36" s="227"/>
      <c r="E36" s="76" t="s">
        <v>38</v>
      </c>
      <c r="F36" s="78" t="s">
        <v>84</v>
      </c>
      <c r="G36" s="103" t="s">
        <v>40</v>
      </c>
      <c r="H36" s="148" t="s">
        <v>85</v>
      </c>
      <c r="I36" s="99" t="str">
        <f t="shared" si="2"/>
        <v>Mantenimiento del control</v>
      </c>
      <c r="J36" s="96">
        <f t="shared" si="5"/>
        <v>40</v>
      </c>
      <c r="K36" s="101">
        <v>0.23456789122999999</v>
      </c>
      <c r="L36" s="96">
        <f t="shared" si="6"/>
        <v>40.23456789123</v>
      </c>
      <c r="M36" s="45"/>
      <c r="N36" s="45"/>
      <c r="O36" s="45"/>
      <c r="P36" s="45"/>
      <c r="Q36" s="45"/>
    </row>
    <row r="37" spans="1:32" s="46" customFormat="1" ht="47" thickBot="1" x14ac:dyDescent="0.4">
      <c r="A37" s="94" t="str">
        <f t="shared" si="8"/>
        <v>4c</v>
      </c>
      <c r="B37" s="226"/>
      <c r="C37" s="213"/>
      <c r="D37" s="227"/>
      <c r="E37" s="76" t="s">
        <v>42</v>
      </c>
      <c r="F37" s="78" t="s">
        <v>86</v>
      </c>
      <c r="G37" s="103" t="s">
        <v>40</v>
      </c>
      <c r="H37" s="148" t="s">
        <v>223</v>
      </c>
      <c r="I37" s="99" t="str">
        <f t="shared" si="2"/>
        <v>Mantenimiento del control</v>
      </c>
      <c r="J37" s="96">
        <f t="shared" si="5"/>
        <v>40</v>
      </c>
      <c r="K37" s="101">
        <v>0.23456789123399999</v>
      </c>
      <c r="L37" s="96">
        <f t="shared" si="6"/>
        <v>40.234567891234001</v>
      </c>
      <c r="M37" s="45"/>
      <c r="N37" s="45"/>
      <c r="O37" s="45"/>
      <c r="P37" s="45"/>
      <c r="Q37" s="45"/>
    </row>
    <row r="38" spans="1:32" s="46" customFormat="1" ht="93" x14ac:dyDescent="0.35">
      <c r="A38" s="94" t="str">
        <f>5&amp;E38</f>
        <v>5a</v>
      </c>
      <c r="B38" s="228" t="s">
        <v>87</v>
      </c>
      <c r="C38" s="215" t="s">
        <v>88</v>
      </c>
      <c r="D38" s="231" t="s">
        <v>89</v>
      </c>
      <c r="E38" s="74" t="s">
        <v>34</v>
      </c>
      <c r="F38" s="75" t="s">
        <v>90</v>
      </c>
      <c r="G38" s="102" t="s">
        <v>40</v>
      </c>
      <c r="H38" s="147" t="s">
        <v>224</v>
      </c>
      <c r="I38" s="95" t="str">
        <f t="shared" si="2"/>
        <v>Mantenimiento del control</v>
      </c>
      <c r="J38" s="96">
        <f>+IF(G38="Si",60,IF(G38="En proceso",50,40))</f>
        <v>60</v>
      </c>
      <c r="K38" s="96">
        <v>0.31</v>
      </c>
      <c r="L38" s="96">
        <f t="shared" si="3"/>
        <v>60.31</v>
      </c>
    </row>
    <row r="39" spans="1:32" s="46" customFormat="1" ht="77.5" x14ac:dyDescent="0.35">
      <c r="A39" s="94" t="str">
        <f t="shared" ref="A39:A42" si="9">5&amp;E39</f>
        <v>5b</v>
      </c>
      <c r="B39" s="229"/>
      <c r="C39" s="216"/>
      <c r="D39" s="232"/>
      <c r="E39" s="76" t="s">
        <v>38</v>
      </c>
      <c r="F39" s="78" t="s">
        <v>91</v>
      </c>
      <c r="G39" s="103" t="s">
        <v>52</v>
      </c>
      <c r="H39" s="148" t="s">
        <v>234</v>
      </c>
      <c r="I39" s="99" t="str">
        <f t="shared" si="2"/>
        <v>Oportunidad de mejora</v>
      </c>
      <c r="J39" s="96">
        <f>+IF(G39="Si",60,IF(G39="En proceso",50,40))</f>
        <v>50</v>
      </c>
      <c r="K39" s="96">
        <v>0.32300000000000001</v>
      </c>
      <c r="L39" s="96">
        <f t="shared" si="3"/>
        <v>50.323</v>
      </c>
    </row>
    <row r="40" spans="1:32" s="46" customFormat="1" ht="62" x14ac:dyDescent="0.35">
      <c r="A40" s="94" t="str">
        <f t="shared" si="9"/>
        <v>5c</v>
      </c>
      <c r="B40" s="229"/>
      <c r="C40" s="216"/>
      <c r="D40" s="232"/>
      <c r="E40" s="76" t="s">
        <v>42</v>
      </c>
      <c r="F40" s="78" t="s">
        <v>92</v>
      </c>
      <c r="G40" s="103" t="s">
        <v>52</v>
      </c>
      <c r="H40" s="148" t="s">
        <v>225</v>
      </c>
      <c r="I40" s="99" t="str">
        <f t="shared" si="2"/>
        <v>Oportunidad de mejora</v>
      </c>
      <c r="J40" s="96">
        <f>+IF(G40="Si",60,IF(G40="En proceso",50,40))</f>
        <v>50</v>
      </c>
      <c r="K40" s="96">
        <v>0.32400000000000001</v>
      </c>
      <c r="L40" s="96">
        <f t="shared" si="3"/>
        <v>50.323999999999998</v>
      </c>
    </row>
    <row r="41" spans="1:32" s="46" customFormat="1" ht="93" x14ac:dyDescent="0.35">
      <c r="A41" s="94" t="str">
        <f t="shared" si="9"/>
        <v>5d</v>
      </c>
      <c r="B41" s="229"/>
      <c r="C41" s="216"/>
      <c r="D41" s="232"/>
      <c r="E41" s="76" t="s">
        <v>44</v>
      </c>
      <c r="F41" s="78" t="s">
        <v>93</v>
      </c>
      <c r="G41" s="103" t="s">
        <v>40</v>
      </c>
      <c r="H41" s="148" t="s">
        <v>94</v>
      </c>
      <c r="I41" s="99" t="str">
        <f t="shared" si="2"/>
        <v>Mantenimiento del control</v>
      </c>
      <c r="J41" s="96">
        <f>+IF(G41="Si",60,IF(G41="En proceso",50,40))</f>
        <v>60</v>
      </c>
      <c r="K41" s="96">
        <v>0.32500000000000001</v>
      </c>
      <c r="L41" s="96">
        <f t="shared" si="3"/>
        <v>60.325000000000003</v>
      </c>
    </row>
    <row r="42" spans="1:32" s="46" customFormat="1" ht="78" thickBot="1" x14ac:dyDescent="0.4">
      <c r="A42" s="94" t="str">
        <f t="shared" si="9"/>
        <v>5e</v>
      </c>
      <c r="B42" s="230"/>
      <c r="C42" s="217"/>
      <c r="D42" s="233"/>
      <c r="E42" s="79" t="s">
        <v>47</v>
      </c>
      <c r="F42" s="80" t="s">
        <v>95</v>
      </c>
      <c r="G42" s="104" t="s">
        <v>40</v>
      </c>
      <c r="H42" s="149" t="s">
        <v>235</v>
      </c>
      <c r="I42" s="100" t="str">
        <f t="shared" si="2"/>
        <v>Mantenimiento del control</v>
      </c>
      <c r="J42" s="96">
        <f>+IF(G42="Si",60,IF(G42="En proceso",50,40))</f>
        <v>60</v>
      </c>
      <c r="K42" s="96">
        <v>0.32600000000000001</v>
      </c>
      <c r="L42" s="96">
        <f t="shared" si="3"/>
        <v>60.326000000000001</v>
      </c>
    </row>
    <row r="43" spans="1:32" s="46" customFormat="1" ht="46.5" x14ac:dyDescent="0.35">
      <c r="A43" s="94" t="str">
        <f>6&amp;E43</f>
        <v>6a</v>
      </c>
      <c r="B43" s="238" t="s">
        <v>96</v>
      </c>
      <c r="C43" s="218" t="s">
        <v>97</v>
      </c>
      <c r="D43" s="235" t="s">
        <v>98</v>
      </c>
      <c r="E43" s="74" t="s">
        <v>34</v>
      </c>
      <c r="F43" s="75" t="s">
        <v>99</v>
      </c>
      <c r="G43" s="102" t="s">
        <v>40</v>
      </c>
      <c r="H43" s="147" t="s">
        <v>100</v>
      </c>
      <c r="I43" s="95" t="str">
        <f t="shared" si="2"/>
        <v>Mantenimiento del control</v>
      </c>
      <c r="J43" s="96">
        <f t="shared" ref="J43:J49" si="10">+IF(G43="Si",80,IF(G43="En proceso",70,60))</f>
        <v>80</v>
      </c>
      <c r="K43" s="96">
        <v>0.41199999999999998</v>
      </c>
      <c r="L43" s="96">
        <f t="shared" si="3"/>
        <v>80.412000000000006</v>
      </c>
    </row>
    <row r="44" spans="1:32" s="46" customFormat="1" ht="77.5" x14ac:dyDescent="0.35">
      <c r="A44" s="94" t="str">
        <f t="shared" ref="A44:A49" si="11">6&amp;E44</f>
        <v>6b</v>
      </c>
      <c r="B44" s="239"/>
      <c r="C44" s="219"/>
      <c r="D44" s="236"/>
      <c r="E44" s="76" t="s">
        <v>38</v>
      </c>
      <c r="F44" s="78" t="s">
        <v>101</v>
      </c>
      <c r="G44" s="103" t="s">
        <v>40</v>
      </c>
      <c r="H44" s="148" t="s">
        <v>102</v>
      </c>
      <c r="I44" s="99" t="str">
        <f t="shared" si="2"/>
        <v>Mantenimiento del control</v>
      </c>
      <c r="J44" s="96">
        <f t="shared" si="10"/>
        <v>80</v>
      </c>
      <c r="K44" s="96">
        <v>0.4123</v>
      </c>
      <c r="L44" s="96">
        <f t="shared" si="3"/>
        <v>80.412300000000002</v>
      </c>
    </row>
    <row r="45" spans="1:32" s="46" customFormat="1" ht="46.5" x14ac:dyDescent="0.35">
      <c r="A45" s="94" t="str">
        <f t="shared" si="11"/>
        <v>6c</v>
      </c>
      <c r="B45" s="239"/>
      <c r="C45" s="219"/>
      <c r="D45" s="236"/>
      <c r="E45" s="76" t="s">
        <v>42</v>
      </c>
      <c r="F45" s="78" t="s">
        <v>103</v>
      </c>
      <c r="G45" s="103" t="s">
        <v>40</v>
      </c>
      <c r="H45" s="148" t="s">
        <v>104</v>
      </c>
      <c r="I45" s="99" t="str">
        <f t="shared" si="2"/>
        <v>Mantenimiento del control</v>
      </c>
      <c r="J45" s="96">
        <f t="shared" si="10"/>
        <v>80</v>
      </c>
      <c r="K45" s="96">
        <v>0.41233999999999998</v>
      </c>
      <c r="L45" s="96">
        <f t="shared" si="3"/>
        <v>80.41234</v>
      </c>
    </row>
    <row r="46" spans="1:32" s="46" customFormat="1" ht="31" x14ac:dyDescent="0.35">
      <c r="A46" s="94" t="str">
        <f t="shared" si="11"/>
        <v>6d</v>
      </c>
      <c r="B46" s="239"/>
      <c r="C46" s="219"/>
      <c r="D46" s="236"/>
      <c r="E46" s="76" t="s">
        <v>44</v>
      </c>
      <c r="F46" s="78" t="s">
        <v>105</v>
      </c>
      <c r="G46" s="103" t="s">
        <v>36</v>
      </c>
      <c r="H46" s="148" t="s">
        <v>106</v>
      </c>
      <c r="I46" s="99" t="str">
        <f t="shared" si="2"/>
        <v>Deficiencia de control</v>
      </c>
      <c r="J46" s="96">
        <f t="shared" si="10"/>
        <v>60</v>
      </c>
      <c r="K46" s="96">
        <v>0.41234500000000002</v>
      </c>
      <c r="L46" s="96">
        <f t="shared" si="3"/>
        <v>60.412345000000002</v>
      </c>
    </row>
    <row r="47" spans="1:32" s="46" customFormat="1" ht="46.5" x14ac:dyDescent="0.35">
      <c r="A47" s="94" t="str">
        <f t="shared" si="11"/>
        <v>6e</v>
      </c>
      <c r="B47" s="239"/>
      <c r="C47" s="219"/>
      <c r="D47" s="236"/>
      <c r="E47" s="76" t="s">
        <v>47</v>
      </c>
      <c r="F47" s="78" t="s">
        <v>107</v>
      </c>
      <c r="G47" s="103" t="s">
        <v>52</v>
      </c>
      <c r="H47" s="148" t="s">
        <v>108</v>
      </c>
      <c r="I47" s="99" t="str">
        <f t="shared" si="2"/>
        <v>Oportunidad de mejora</v>
      </c>
      <c r="J47" s="96">
        <f t="shared" si="10"/>
        <v>70</v>
      </c>
      <c r="K47" s="96">
        <v>0.41234559999999998</v>
      </c>
      <c r="L47" s="96">
        <f t="shared" si="3"/>
        <v>70.412345599999995</v>
      </c>
    </row>
    <row r="48" spans="1:32" s="46" customFormat="1" ht="46.5" x14ac:dyDescent="0.35">
      <c r="A48" s="94" t="str">
        <f t="shared" si="11"/>
        <v>6f</v>
      </c>
      <c r="B48" s="239"/>
      <c r="C48" s="219"/>
      <c r="D48" s="236"/>
      <c r="E48" s="76" t="s">
        <v>50</v>
      </c>
      <c r="F48" s="78" t="s">
        <v>109</v>
      </c>
      <c r="G48" s="103" t="s">
        <v>52</v>
      </c>
      <c r="H48" s="148" t="s">
        <v>110</v>
      </c>
      <c r="I48" s="99" t="str">
        <f t="shared" si="2"/>
        <v>Oportunidad de mejora</v>
      </c>
      <c r="J48" s="96">
        <f t="shared" si="10"/>
        <v>70</v>
      </c>
      <c r="K48" s="96">
        <v>0.41234567</v>
      </c>
      <c r="L48" s="96">
        <f t="shared" si="3"/>
        <v>70.412345669999993</v>
      </c>
    </row>
    <row r="49" spans="1:17" s="46" customFormat="1" ht="47" thickBot="1" x14ac:dyDescent="0.4">
      <c r="A49" s="94" t="str">
        <f t="shared" si="11"/>
        <v>6g</v>
      </c>
      <c r="B49" s="240"/>
      <c r="C49" s="220"/>
      <c r="D49" s="237"/>
      <c r="E49" s="79" t="s">
        <v>53</v>
      </c>
      <c r="F49" s="80" t="s">
        <v>111</v>
      </c>
      <c r="G49" s="104" t="s">
        <v>40</v>
      </c>
      <c r="H49" s="149" t="s">
        <v>112</v>
      </c>
      <c r="I49" s="100" t="str">
        <f t="shared" si="2"/>
        <v>Mantenimiento del control</v>
      </c>
      <c r="J49" s="96">
        <f t="shared" si="10"/>
        <v>80</v>
      </c>
      <c r="K49" s="96">
        <v>0.41234567799999999</v>
      </c>
      <c r="L49" s="96">
        <f t="shared" si="3"/>
        <v>80.412345677999994</v>
      </c>
    </row>
    <row r="50" spans="1:17" s="46" customFormat="1" ht="62" x14ac:dyDescent="0.35">
      <c r="A50" s="94" t="str">
        <f>7&amp;E50</f>
        <v>7a</v>
      </c>
      <c r="B50" s="206" t="s">
        <v>113</v>
      </c>
      <c r="C50" s="221" t="s">
        <v>114</v>
      </c>
      <c r="D50" s="203" t="s">
        <v>115</v>
      </c>
      <c r="E50" s="74" t="s">
        <v>34</v>
      </c>
      <c r="F50" s="75" t="s">
        <v>116</v>
      </c>
      <c r="G50" s="102" t="s">
        <v>52</v>
      </c>
      <c r="H50" s="147" t="s">
        <v>117</v>
      </c>
      <c r="I50" s="95" t="str">
        <f t="shared" si="2"/>
        <v>Oportunidad de mejora</v>
      </c>
      <c r="J50" s="96">
        <f>+IF(G50="Si",120,IF(G50="En proceso",100,80))</f>
        <v>100</v>
      </c>
      <c r="K50" s="96">
        <v>0.85099999999999998</v>
      </c>
      <c r="L50" s="96">
        <f t="shared" si="3"/>
        <v>100.851</v>
      </c>
    </row>
    <row r="51" spans="1:17" s="46" customFormat="1" ht="77.5" x14ac:dyDescent="0.35">
      <c r="A51" s="94" t="str">
        <f t="shared" ref="A51:A53" si="12">7&amp;E51</f>
        <v>7d</v>
      </c>
      <c r="B51" s="207"/>
      <c r="C51" s="222"/>
      <c r="D51" s="204"/>
      <c r="E51" s="76" t="s">
        <v>44</v>
      </c>
      <c r="F51" s="78" t="s">
        <v>118</v>
      </c>
      <c r="G51" s="103" t="s">
        <v>40</v>
      </c>
      <c r="H51" s="148" t="s">
        <v>226</v>
      </c>
      <c r="I51" s="99" t="str">
        <f t="shared" si="2"/>
        <v>Mantenimiento del control</v>
      </c>
      <c r="J51" s="96">
        <f t="shared" ref="J51:J59" si="13">+IF(G51="Si",120,IF(G51="En proceso",100,80))</f>
        <v>120</v>
      </c>
      <c r="K51" s="96">
        <v>0.85119999999999996</v>
      </c>
      <c r="L51" s="96">
        <f t="shared" si="3"/>
        <v>120.85120000000001</v>
      </c>
    </row>
    <row r="52" spans="1:17" s="46" customFormat="1" ht="62" x14ac:dyDescent="0.35">
      <c r="A52" s="94" t="str">
        <f t="shared" si="12"/>
        <v>7f</v>
      </c>
      <c r="B52" s="207"/>
      <c r="C52" s="222"/>
      <c r="D52" s="204"/>
      <c r="E52" s="76" t="s">
        <v>50</v>
      </c>
      <c r="F52" s="78" t="s">
        <v>119</v>
      </c>
      <c r="G52" s="103" t="s">
        <v>40</v>
      </c>
      <c r="H52" s="148" t="s">
        <v>120</v>
      </c>
      <c r="I52" s="99" t="str">
        <f t="shared" si="2"/>
        <v>Mantenimiento del control</v>
      </c>
      <c r="J52" s="96">
        <f t="shared" si="13"/>
        <v>120</v>
      </c>
      <c r="K52" s="96">
        <v>0.85123000000000004</v>
      </c>
      <c r="L52" s="96">
        <f t="shared" si="3"/>
        <v>120.85123</v>
      </c>
    </row>
    <row r="53" spans="1:17" s="46" customFormat="1" ht="93.5" thickBot="1" x14ac:dyDescent="0.4">
      <c r="A53" s="94" t="str">
        <f t="shared" si="12"/>
        <v>7g</v>
      </c>
      <c r="B53" s="208"/>
      <c r="C53" s="223"/>
      <c r="D53" s="241"/>
      <c r="E53" s="79" t="s">
        <v>53</v>
      </c>
      <c r="F53" s="80" t="s">
        <v>121</v>
      </c>
      <c r="G53" s="104" t="s">
        <v>40</v>
      </c>
      <c r="H53" s="149" t="s">
        <v>122</v>
      </c>
      <c r="I53" s="100" t="str">
        <f t="shared" si="2"/>
        <v>Mantenimiento del control</v>
      </c>
      <c r="J53" s="96">
        <f t="shared" si="13"/>
        <v>120</v>
      </c>
      <c r="K53" s="96">
        <v>0.85123400000000005</v>
      </c>
      <c r="L53" s="96">
        <f t="shared" si="3"/>
        <v>120.85123400000001</v>
      </c>
    </row>
    <row r="54" spans="1:17" s="46" customFormat="1" ht="102.75" customHeight="1" thickBot="1" x14ac:dyDescent="0.4">
      <c r="A54" s="94" t="str">
        <f>8&amp;E54</f>
        <v>8h</v>
      </c>
      <c r="B54" s="152" t="s">
        <v>123</v>
      </c>
      <c r="C54" s="153" t="s">
        <v>114</v>
      </c>
      <c r="D54" s="70" t="s">
        <v>124</v>
      </c>
      <c r="E54" s="74" t="s">
        <v>55</v>
      </c>
      <c r="F54" s="75" t="s">
        <v>125</v>
      </c>
      <c r="G54" s="102" t="s">
        <v>40</v>
      </c>
      <c r="H54" s="147" t="s">
        <v>126</v>
      </c>
      <c r="I54" s="95" t="str">
        <f t="shared" si="2"/>
        <v>Mantenimiento del control</v>
      </c>
      <c r="J54" s="96">
        <f t="shared" si="13"/>
        <v>120</v>
      </c>
      <c r="K54" s="96">
        <v>0.85123450000000001</v>
      </c>
      <c r="L54" s="96">
        <f t="shared" si="3"/>
        <v>120.8512345</v>
      </c>
    </row>
    <row r="55" spans="1:17" s="46" customFormat="1" ht="62" x14ac:dyDescent="0.35">
      <c r="A55" s="94" t="str">
        <f>9&amp;E55</f>
        <v>9a</v>
      </c>
      <c r="B55" s="206" t="s">
        <v>127</v>
      </c>
      <c r="C55" s="221" t="s">
        <v>114</v>
      </c>
      <c r="D55" s="203" t="s">
        <v>128</v>
      </c>
      <c r="E55" s="74" t="s">
        <v>34</v>
      </c>
      <c r="F55" s="75" t="s">
        <v>129</v>
      </c>
      <c r="G55" s="102" t="s">
        <v>52</v>
      </c>
      <c r="H55" s="147" t="s">
        <v>229</v>
      </c>
      <c r="I55" s="95" t="str">
        <f t="shared" si="2"/>
        <v>Oportunidad de mejora</v>
      </c>
      <c r="J55" s="96">
        <f t="shared" si="13"/>
        <v>100</v>
      </c>
      <c r="K55" s="101">
        <v>0.85123455999999997</v>
      </c>
      <c r="L55" s="96">
        <f t="shared" si="3"/>
        <v>100.85123455999999</v>
      </c>
      <c r="M55" s="45"/>
      <c r="N55" s="45"/>
      <c r="O55" s="45"/>
      <c r="P55" s="45"/>
      <c r="Q55" s="45"/>
    </row>
    <row r="56" spans="1:17" s="46" customFormat="1" ht="55.5" customHeight="1" thickBot="1" x14ac:dyDescent="0.4">
      <c r="A56" s="94" t="str">
        <f t="shared" ref="A56:A59" si="14">9&amp;E56</f>
        <v>9b</v>
      </c>
      <c r="B56" s="207"/>
      <c r="C56" s="222"/>
      <c r="D56" s="204"/>
      <c r="E56" s="76" t="s">
        <v>38</v>
      </c>
      <c r="F56" s="78" t="s">
        <v>131</v>
      </c>
      <c r="G56" s="103" t="s">
        <v>52</v>
      </c>
      <c r="H56" s="148" t="s">
        <v>132</v>
      </c>
      <c r="I56" s="99" t="str">
        <f t="shared" si="2"/>
        <v>Oportunidad de mejora</v>
      </c>
      <c r="J56" s="96">
        <f t="shared" si="13"/>
        <v>100</v>
      </c>
      <c r="K56" s="101">
        <v>0.851234567</v>
      </c>
      <c r="L56" s="96">
        <f t="shared" si="3"/>
        <v>100.85123456700001</v>
      </c>
      <c r="M56" s="45"/>
      <c r="N56" s="45"/>
      <c r="O56" s="45"/>
      <c r="P56" s="45"/>
      <c r="Q56" s="45"/>
    </row>
    <row r="57" spans="1:17" s="46" customFormat="1" ht="77.25" customHeight="1" thickBot="1" x14ac:dyDescent="0.4">
      <c r="A57" s="94" t="str">
        <f t="shared" si="14"/>
        <v>9c</v>
      </c>
      <c r="B57" s="207"/>
      <c r="C57" s="222"/>
      <c r="D57" s="204"/>
      <c r="E57" s="76" t="s">
        <v>42</v>
      </c>
      <c r="F57" s="78" t="s">
        <v>133</v>
      </c>
      <c r="G57" s="103" t="s">
        <v>52</v>
      </c>
      <c r="H57" s="147" t="s">
        <v>130</v>
      </c>
      <c r="I57" s="99" t="str">
        <f t="shared" si="2"/>
        <v>Oportunidad de mejora</v>
      </c>
      <c r="J57" s="96">
        <f t="shared" si="13"/>
        <v>100</v>
      </c>
      <c r="K57" s="101">
        <v>0.85123456779999995</v>
      </c>
      <c r="L57" s="96">
        <f t="shared" si="3"/>
        <v>100.85123456780001</v>
      </c>
      <c r="M57" s="45"/>
      <c r="N57" s="45"/>
      <c r="O57" s="45"/>
      <c r="P57" s="45"/>
      <c r="Q57" s="45"/>
    </row>
    <row r="58" spans="1:17" s="46" customFormat="1" ht="77.25" customHeight="1" x14ac:dyDescent="0.35">
      <c r="A58" s="94" t="str">
        <f t="shared" si="14"/>
        <v>9d</v>
      </c>
      <c r="B58" s="207"/>
      <c r="C58" s="222"/>
      <c r="D58" s="204"/>
      <c r="E58" s="76" t="s">
        <v>44</v>
      </c>
      <c r="F58" s="78" t="s">
        <v>134</v>
      </c>
      <c r="G58" s="103" t="s">
        <v>52</v>
      </c>
      <c r="H58" s="147" t="s">
        <v>130</v>
      </c>
      <c r="I58" s="99" t="str">
        <f t="shared" si="2"/>
        <v>Oportunidad de mejora</v>
      </c>
      <c r="J58" s="96">
        <f t="shared" si="13"/>
        <v>100</v>
      </c>
      <c r="K58" s="101">
        <v>0.85123456788999996</v>
      </c>
      <c r="L58" s="96">
        <f t="shared" si="3"/>
        <v>100.85123456789</v>
      </c>
      <c r="M58" s="45"/>
      <c r="N58" s="45"/>
      <c r="O58" s="45"/>
      <c r="P58" s="45"/>
      <c r="Q58" s="45"/>
    </row>
    <row r="59" spans="1:17" s="46" customFormat="1" ht="77.25" customHeight="1" thickBot="1" x14ac:dyDescent="0.4">
      <c r="A59" s="94" t="str">
        <f t="shared" si="14"/>
        <v>9e</v>
      </c>
      <c r="B59" s="208"/>
      <c r="C59" s="222"/>
      <c r="D59" s="205"/>
      <c r="E59" s="79" t="s">
        <v>47</v>
      </c>
      <c r="F59" s="80" t="s">
        <v>135</v>
      </c>
      <c r="G59" s="104" t="s">
        <v>40</v>
      </c>
      <c r="H59" s="149" t="s">
        <v>136</v>
      </c>
      <c r="I59" s="100" t="str">
        <f t="shared" si="2"/>
        <v>Mantenimiento del control</v>
      </c>
      <c r="J59" s="96">
        <f t="shared" si="13"/>
        <v>120</v>
      </c>
      <c r="K59" s="101">
        <v>0.85123456789100005</v>
      </c>
      <c r="L59" s="96">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55" zoomScale="80" zoomScaleNormal="80" workbookViewId="0">
      <selection activeCell="K61" sqref="K61"/>
    </sheetView>
  </sheetViews>
  <sheetFormatPr baseColWidth="10" defaultColWidth="11.453125" defaultRowHeight="14.5" x14ac:dyDescent="0.35"/>
  <cols>
    <col min="3" max="3" width="22.81640625" customWidth="1"/>
    <col min="4" max="4" width="22.453125" customWidth="1"/>
    <col min="5" max="5" width="53.453125" customWidth="1"/>
    <col min="7" max="7" width="28.26953125" customWidth="1"/>
    <col min="8" max="8" width="4.81640625" customWidth="1"/>
    <col min="9" max="9" width="15.26953125" customWidth="1"/>
    <col min="10" max="10" width="22.453125" customWidth="1"/>
    <col min="11" max="29" width="11.453125" style="1"/>
  </cols>
  <sheetData>
    <row r="1" spans="1:11" x14ac:dyDescent="0.35">
      <c r="A1" s="1"/>
      <c r="B1" s="1"/>
      <c r="C1" s="1"/>
      <c r="D1" s="1"/>
      <c r="E1" s="1"/>
      <c r="F1" s="1"/>
      <c r="G1" s="1"/>
      <c r="H1" s="1"/>
      <c r="I1" s="1"/>
      <c r="J1" s="1"/>
    </row>
    <row r="2" spans="1:11" s="1" customFormat="1" x14ac:dyDescent="0.35"/>
    <row r="3" spans="1:11" s="1" customFormat="1" x14ac:dyDescent="0.35"/>
    <row r="4" spans="1:11" x14ac:dyDescent="0.35">
      <c r="A4" s="1"/>
      <c r="B4" s="1"/>
      <c r="C4" s="1"/>
      <c r="D4" s="1"/>
      <c r="E4" s="1"/>
      <c r="F4" s="1"/>
      <c r="G4" s="1"/>
      <c r="H4" s="1"/>
      <c r="I4" s="1"/>
      <c r="J4" s="1"/>
    </row>
    <row r="5" spans="1:11" x14ac:dyDescent="0.35">
      <c r="A5" s="1"/>
      <c r="B5" s="1"/>
      <c r="C5" s="1"/>
      <c r="D5" s="1"/>
      <c r="E5" s="1"/>
      <c r="F5" s="1"/>
      <c r="G5" s="1"/>
      <c r="H5" s="1"/>
      <c r="I5" s="1"/>
      <c r="J5" s="1"/>
    </row>
    <row r="6" spans="1:11" ht="15" thickBot="1" x14ac:dyDescent="0.4">
      <c r="A6" s="1"/>
      <c r="B6" s="1"/>
      <c r="C6" s="1"/>
      <c r="D6" s="1"/>
      <c r="E6" s="1"/>
      <c r="F6" s="1"/>
      <c r="G6" s="1"/>
      <c r="H6" s="1"/>
      <c r="I6" s="1"/>
      <c r="J6" s="1"/>
    </row>
    <row r="7" spans="1:11" ht="25.5" thickBot="1" x14ac:dyDescent="0.4">
      <c r="A7" s="1"/>
      <c r="B7" s="1"/>
      <c r="C7" s="284" t="s">
        <v>137</v>
      </c>
      <c r="D7" s="285"/>
      <c r="E7" s="285"/>
      <c r="F7" s="285"/>
      <c r="G7" s="285"/>
      <c r="H7" s="285"/>
      <c r="I7" s="285"/>
      <c r="J7" s="285"/>
      <c r="K7" s="286"/>
    </row>
    <row r="8" spans="1:11" s="1" customFormat="1" ht="15" thickBot="1" x14ac:dyDescent="0.4">
      <c r="C8" s="36"/>
      <c r="D8" s="36"/>
      <c r="E8" s="37"/>
      <c r="F8" s="37"/>
      <c r="G8" s="37"/>
      <c r="H8" s="37"/>
      <c r="I8" s="47"/>
      <c r="J8" s="37"/>
      <c r="K8" s="37"/>
    </row>
    <row r="9" spans="1:11" ht="20.5" thickBot="1" x14ac:dyDescent="0.4">
      <c r="A9" s="1"/>
      <c r="B9" s="1"/>
      <c r="C9" s="186" t="s">
        <v>15</v>
      </c>
      <c r="D9" s="187"/>
      <c r="E9" s="187" t="s">
        <v>16</v>
      </c>
      <c r="F9" s="198"/>
      <c r="G9" s="37"/>
      <c r="H9" s="37"/>
      <c r="I9" s="47"/>
      <c r="J9" s="37"/>
      <c r="K9" s="37"/>
    </row>
    <row r="10" spans="1:11" ht="54" customHeight="1" x14ac:dyDescent="0.35">
      <c r="A10" s="1"/>
      <c r="B10" s="1"/>
      <c r="C10" s="199" t="s">
        <v>17</v>
      </c>
      <c r="D10" s="200"/>
      <c r="E10" s="201" t="s">
        <v>18</v>
      </c>
      <c r="F10" s="202"/>
      <c r="G10" s="38"/>
      <c r="H10" s="39">
        <v>1</v>
      </c>
      <c r="I10" s="47"/>
      <c r="J10" s="37"/>
      <c r="K10" s="37"/>
    </row>
    <row r="11" spans="1:11" ht="46.5" customHeight="1" x14ac:dyDescent="0.35">
      <c r="A11" s="1"/>
      <c r="B11" s="1"/>
      <c r="C11" s="188" t="s">
        <v>19</v>
      </c>
      <c r="D11" s="189"/>
      <c r="E11" s="190" t="s">
        <v>138</v>
      </c>
      <c r="F11" s="191"/>
      <c r="G11" s="40" t="s">
        <v>139</v>
      </c>
      <c r="H11" s="39">
        <v>0.75</v>
      </c>
      <c r="I11" s="47"/>
      <c r="J11" s="37"/>
      <c r="K11" s="37"/>
    </row>
    <row r="12" spans="1:11" ht="70.5" customHeight="1" thickBot="1" x14ac:dyDescent="0.4">
      <c r="A12" s="1"/>
      <c r="B12" s="1"/>
      <c r="C12" s="192" t="s">
        <v>21</v>
      </c>
      <c r="D12" s="193"/>
      <c r="E12" s="194" t="s">
        <v>140</v>
      </c>
      <c r="F12" s="195"/>
      <c r="G12" s="41"/>
      <c r="H12" s="39">
        <v>0.25</v>
      </c>
      <c r="I12" s="47"/>
      <c r="J12" s="37"/>
      <c r="K12" s="37"/>
    </row>
    <row r="13" spans="1:11" s="1" customFormat="1" x14ac:dyDescent="0.35"/>
    <row r="14" spans="1:11" s="1" customFormat="1" x14ac:dyDescent="0.35"/>
    <row r="15" spans="1:11" s="1" customFormat="1" x14ac:dyDescent="0.35"/>
    <row r="16" spans="1:11" s="1" customFormat="1" ht="15" thickBot="1" x14ac:dyDescent="0.4"/>
    <row r="17" spans="1:10" x14ac:dyDescent="0.35">
      <c r="A17" s="1"/>
      <c r="B17" s="1"/>
      <c r="C17" s="276" t="s">
        <v>141</v>
      </c>
      <c r="D17" s="278" t="s">
        <v>142</v>
      </c>
      <c r="E17" s="279"/>
      <c r="F17" s="280" t="s">
        <v>143</v>
      </c>
      <c r="G17" s="282" t="s">
        <v>144</v>
      </c>
      <c r="H17" s="35"/>
      <c r="I17" s="271" t="s">
        <v>145</v>
      </c>
      <c r="J17" s="271" t="s">
        <v>146</v>
      </c>
    </row>
    <row r="18" spans="1:10" ht="36" customHeight="1" thickBot="1" x14ac:dyDescent="0.4">
      <c r="A18" s="1"/>
      <c r="B18" s="1"/>
      <c r="C18" s="277"/>
      <c r="D18" s="105" t="s">
        <v>147</v>
      </c>
      <c r="E18" s="106" t="s">
        <v>27</v>
      </c>
      <c r="F18" s="281"/>
      <c r="G18" s="283"/>
      <c r="H18" s="35"/>
      <c r="I18" s="272"/>
      <c r="J18" s="272"/>
    </row>
    <row r="19" spans="1:10" ht="65.25" customHeight="1" x14ac:dyDescent="0.35">
      <c r="A19" s="1"/>
      <c r="B19" s="1"/>
      <c r="C19" s="124">
        <v>1</v>
      </c>
      <c r="D19" s="273" t="s">
        <v>32</v>
      </c>
      <c r="E19" s="107" t="str">
        <f>+IFERROR(INDEX(Hoja1!$E$2:$E$45,MATCH('Análisis Resultados'!C19,Hoja1!$H$2:$H$45,0)),"")</f>
        <v>Documento interno o adopción del MECI actualizado</v>
      </c>
      <c r="F19" s="108" t="str">
        <f>+IFERROR(VLOOKUP(C19,Hoja1!$H$2:$I$45,2,0),"")</f>
        <v>No</v>
      </c>
      <c r="G19" s="109"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25">
        <f>+IF(F19="Si",1,IF(F19="En proceso",0.5,0))</f>
        <v>0</v>
      </c>
      <c r="J19" s="255">
        <f>+AVERAGE(I19:I30)</f>
        <v>0.79166666666666663</v>
      </c>
    </row>
    <row r="20" spans="1:10" ht="31.5" x14ac:dyDescent="0.35">
      <c r="A20" s="1"/>
      <c r="B20" s="1"/>
      <c r="C20" s="124">
        <v>2</v>
      </c>
      <c r="D20" s="274"/>
      <c r="E20" s="110" t="str">
        <f>+IFERROR(INDEX(Hoja1!$E$2:$E$45,MATCH('Análisis Resultados'!C20,Hoja1!$H$2:$H$45,0)),"")</f>
        <v>Procesos de desvinculación de servidores de acuerdo con lo previsto en la Constitución Política y las leyes</v>
      </c>
      <c r="F20" s="111" t="str">
        <f>+IFERROR(VLOOKUP(C20,Hoja1!$H$2:$I$45,2,0),"")</f>
        <v>No</v>
      </c>
      <c r="G20" s="112"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20" s="126">
        <f t="shared" ref="I20:I62" si="1">+IF(F20="Si",1,IF(F20="En proceso",0.5,0))</f>
        <v>0</v>
      </c>
      <c r="J20" s="256"/>
    </row>
    <row r="21" spans="1:10" ht="42" x14ac:dyDescent="0.35">
      <c r="A21" s="1"/>
      <c r="B21" s="1"/>
      <c r="C21" s="124">
        <v>3</v>
      </c>
      <c r="D21" s="274"/>
      <c r="E21" s="110" t="str">
        <f>+IFERROR(INDEX(Hoja1!$E$2:$E$45,MATCH('Análisis Resultados'!C21,Hoja1!$H$2:$H$45,0)),"")</f>
        <v>Procesos de inducción, capacitación y bienestar social para sus servidores públicos, de manera directa o en asociación con otras entidades municipales</v>
      </c>
      <c r="F21" s="111" t="str">
        <f>+IFERROR(VLOOKUP(C21,Hoja1!$H$2:$I$45,2,0),"")</f>
        <v>En proceso</v>
      </c>
      <c r="G21" s="112" t="str">
        <f t="shared" si="0"/>
        <v>Se encuentra en proceso, pero requiere continuar con acciones dirigidas a contar con dicho aspecto de control.</v>
      </c>
      <c r="I21" s="126">
        <f t="shared" si="1"/>
        <v>0.5</v>
      </c>
      <c r="J21" s="256"/>
    </row>
    <row r="22" spans="1:10" ht="56.25" customHeight="1" x14ac:dyDescent="0.35">
      <c r="A22" s="1"/>
      <c r="B22" s="1"/>
      <c r="C22" s="124">
        <v>4</v>
      </c>
      <c r="D22" s="274"/>
      <c r="E22" s="110" t="str">
        <f>+IFERROR(INDEX(Hoja1!$E$2:$E$45,MATCH('Análisis Resultados'!C22,Hoja1!$H$2:$H$45,0)),"")</f>
        <v>Un documento tal como un código de ética, integridad u otro que formalice los estándares de conducta, los principios institucionales o los valores del servicio público</v>
      </c>
      <c r="F22" s="111" t="str">
        <f>+IFERROR(VLOOKUP(C22,Hoja1!$H$2:$I$45,2,0),"")</f>
        <v>Si</v>
      </c>
      <c r="G22" s="112" t="str">
        <f t="shared" si="0"/>
        <v>Existe requerimiento pero se requiere actividades  dirigidas a su mantenimiento dentro del marco de las lineas de defensa.</v>
      </c>
      <c r="I22" s="126">
        <f t="shared" si="1"/>
        <v>1</v>
      </c>
      <c r="J22" s="256"/>
    </row>
    <row r="23" spans="1:10" ht="42" x14ac:dyDescent="0.35">
      <c r="A23" s="1"/>
      <c r="B23" s="1"/>
      <c r="C23" s="124">
        <v>5</v>
      </c>
      <c r="D23" s="274"/>
      <c r="E23" s="110" t="str">
        <f>+IFERROR(INDEX(Hoja1!$E$2:$E$45,MATCH('Análisis Resultados'!C23,Hoja1!$H$2:$H$45,0)),"")</f>
        <v>Planes, programas y proyectos de acuerdo con las normas que rigen y atendiendo con su propósito fundamental institucional (misión)</v>
      </c>
      <c r="F23" s="111" t="str">
        <f>+IFERROR(VLOOKUP(C23,Hoja1!$H$2:$I$45,2,0),"")</f>
        <v>Si</v>
      </c>
      <c r="G23" s="112" t="str">
        <f t="shared" si="0"/>
        <v>Existe requerimiento pero se requiere actividades  dirigidas a su mantenimiento dentro del marco de las lineas de defensa.</v>
      </c>
      <c r="I23" s="126">
        <f t="shared" si="1"/>
        <v>1</v>
      </c>
      <c r="J23" s="256"/>
    </row>
    <row r="24" spans="1:10" ht="31.5" x14ac:dyDescent="0.35">
      <c r="A24" s="1"/>
      <c r="B24" s="1"/>
      <c r="C24" s="124">
        <v>6</v>
      </c>
      <c r="D24" s="274"/>
      <c r="E24" s="110" t="str">
        <f>+IFERROR(INDEX(Hoja1!$E$2:$E$45,MATCH('Análisis Resultados'!C24,Hoja1!$H$2:$H$45,0)),"")</f>
        <v>Una estructura organizacional formalizada (organigrama)</v>
      </c>
      <c r="F24" s="111" t="str">
        <f>+IFERROR(VLOOKUP(C24,Hoja1!$H$2:$I$45,2,0),"")</f>
        <v>Si</v>
      </c>
      <c r="G24" s="112" t="str">
        <f t="shared" si="0"/>
        <v>Existe requerimiento pero se requiere actividades  dirigidas a su mantenimiento dentro del marco de las lineas de defensa.</v>
      </c>
      <c r="I24" s="126">
        <f t="shared" si="1"/>
        <v>1</v>
      </c>
      <c r="J24" s="256"/>
    </row>
    <row r="25" spans="1:10" ht="31.5" x14ac:dyDescent="0.35">
      <c r="A25" s="1"/>
      <c r="B25" s="1"/>
      <c r="C25" s="124">
        <v>7</v>
      </c>
      <c r="D25" s="274"/>
      <c r="E25" s="110" t="str">
        <f>+IFERROR(INDEX(Hoja1!$E$2:$E$45,MATCH('Análisis Resultados'!C25,Hoja1!$H$2:$H$45,0)),"")</f>
        <v>Un manual de funciones que describa los empleos de la entidad</v>
      </c>
      <c r="F25" s="111" t="str">
        <f>+IFERROR(VLOOKUP(C25,Hoja1!$H$2:$I$45,2,0),"")</f>
        <v>Si</v>
      </c>
      <c r="G25" s="112" t="str">
        <f t="shared" si="0"/>
        <v>Existe requerimiento pero se requiere actividades  dirigidas a su mantenimiento dentro del marco de las lineas de defensa.</v>
      </c>
      <c r="I25" s="126">
        <f t="shared" si="1"/>
        <v>1</v>
      </c>
      <c r="J25" s="256"/>
    </row>
    <row r="26" spans="1:10" ht="42" x14ac:dyDescent="0.35">
      <c r="A26" s="1"/>
      <c r="B26" s="1"/>
      <c r="C26" s="124">
        <v>8</v>
      </c>
      <c r="D26" s="274"/>
      <c r="E26" s="110" t="str">
        <f>+IFERROR(INDEX(Hoja1!$E$2:$E$45,MATCH('Análisis Resultados'!C26,Hoja1!$H$2:$H$45,0)),"")</f>
        <v>La documentación de sus procesos y procedimientos o bien una lista de actividades principales que permitan conocer el estado de su gestión</v>
      </c>
      <c r="F26" s="111" t="str">
        <f>+IFERROR(VLOOKUP(C26,Hoja1!$H$2:$I$45,2,0),"")</f>
        <v>Si</v>
      </c>
      <c r="G26" s="112" t="str">
        <f t="shared" si="0"/>
        <v>Existe requerimiento pero se requiere actividades  dirigidas a su mantenimiento dentro del marco de las lineas de defensa.</v>
      </c>
      <c r="I26" s="126">
        <f t="shared" si="1"/>
        <v>1</v>
      </c>
      <c r="J26" s="256"/>
    </row>
    <row r="27" spans="1:10" ht="42" x14ac:dyDescent="0.35">
      <c r="A27" s="1"/>
      <c r="B27" s="1"/>
      <c r="C27" s="124">
        <v>9</v>
      </c>
      <c r="D27" s="274"/>
      <c r="E27" s="110" t="str">
        <f>+IFERROR(INDEX(Hoja1!$E$2:$E$45,MATCH('Análisis Resultados'!C27,Hoja1!$H$2:$H$45,0)),"")</f>
        <v>Vinculación de los servidores públicos de acuerdo con el marco normativo que les rige (carrera administrativa, libre nombramiento y remoción, entre otros)</v>
      </c>
      <c r="F27" s="111" t="str">
        <f>+IFERROR(VLOOKUP(C27,Hoja1!$H$2:$I$45,2,0),"")</f>
        <v>Si</v>
      </c>
      <c r="G27" s="112" t="str">
        <f t="shared" si="0"/>
        <v>Existe requerimiento pero se requiere actividades  dirigidas a su mantenimiento dentro del marco de las lineas de defensa.</v>
      </c>
      <c r="I27" s="126">
        <f t="shared" si="1"/>
        <v>1</v>
      </c>
      <c r="J27" s="256"/>
    </row>
    <row r="28" spans="1:10" ht="31.5" x14ac:dyDescent="0.35">
      <c r="A28" s="1"/>
      <c r="B28" s="1"/>
      <c r="C28" s="124">
        <v>10</v>
      </c>
      <c r="D28" s="274"/>
      <c r="E28" s="110" t="str">
        <f>+IFERROR(INDEX(Hoja1!$E$2:$E$45,MATCH('Análisis Resultados'!C28,Hoja1!$H$2:$H$45,0)),"")</f>
        <v>Evaluación a los servidores públicos de acuerdo con el marco normativo que le rige</v>
      </c>
      <c r="F28" s="111" t="str">
        <f>+IFERROR(VLOOKUP(C28,Hoja1!$H$2:$I$45,2,0),"")</f>
        <v>Si</v>
      </c>
      <c r="G28" s="112" t="str">
        <f t="shared" si="0"/>
        <v>Existe requerimiento pero se requiere actividades  dirigidas a su mantenimiento dentro del marco de las lineas de defensa.</v>
      </c>
      <c r="I28" s="126">
        <f t="shared" si="1"/>
        <v>1</v>
      </c>
      <c r="J28" s="256"/>
    </row>
    <row r="29" spans="1:10" ht="31.5" x14ac:dyDescent="0.35">
      <c r="A29" s="1"/>
      <c r="B29" s="1"/>
      <c r="C29" s="124">
        <v>11</v>
      </c>
      <c r="D29" s="274"/>
      <c r="E29" s="110" t="str">
        <f>+IFERROR(INDEX(Hoja1!$E$2:$E$45,MATCH('Análisis Resultados'!C29,Hoja1!$H$2:$H$45,0)),"")</f>
        <v>Mecanismos de rendición de cuentas a la ciudadanía</v>
      </c>
      <c r="F29" s="111" t="str">
        <f>+IFERROR(VLOOKUP(C29,Hoja1!$H$2:$I$45,2,0),"")</f>
        <v>Si</v>
      </c>
      <c r="G29" s="112"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6">
        <f t="shared" si="1"/>
        <v>1</v>
      </c>
      <c r="J29" s="256"/>
    </row>
    <row r="30" spans="1:10" ht="32" thickBot="1" x14ac:dyDescent="0.4">
      <c r="A30" s="1"/>
      <c r="B30" s="1"/>
      <c r="C30" s="124">
        <v>12</v>
      </c>
      <c r="D30" s="275"/>
      <c r="E30" s="113" t="str">
        <f>+IFERROR(INDEX(Hoja1!$E$2:$E$45,MATCH('Análisis Resultados'!C30,Hoja1!$H$2:$H$45,0)),"")</f>
        <v>Presentación oportuna de sus informes de gestión a las autoridades competentes</v>
      </c>
      <c r="F30" s="114" t="str">
        <f>+IFERROR(VLOOKUP(C30,Hoja1!$H$2:$I$45,2,0),"")</f>
        <v>Si</v>
      </c>
      <c r="G30" s="115" t="str">
        <f t="shared" si="0"/>
        <v>Existe requerimiento pero se requiere actividades  dirigidas a su mantenimiento dentro del marco de las lineas de defensa.</v>
      </c>
      <c r="I30" s="127">
        <f t="shared" si="1"/>
        <v>1</v>
      </c>
      <c r="J30" s="257"/>
    </row>
    <row r="31" spans="1:10" ht="45" customHeight="1" x14ac:dyDescent="0.35">
      <c r="A31" s="1"/>
      <c r="B31" s="1"/>
      <c r="C31" s="124">
        <v>13</v>
      </c>
      <c r="D31" s="269" t="s">
        <v>69</v>
      </c>
      <c r="E31" s="107" t="str">
        <f>+IFERROR(INDEX(Hoja1!$E$2:$E$45,MATCH('Análisis Resultados'!C31,Hoja1!$H$2:$H$45,0)),"")</f>
        <v>La identificación de cambios en su entorno que pueden generar consecuencias negativas en su gestión</v>
      </c>
      <c r="F31" s="108" t="str">
        <f>+IFERROR(VLOOKUP(C31,Hoja1!$H$2:$I$45,2,0),"")</f>
        <v>En proceso</v>
      </c>
      <c r="G31" s="109" t="str">
        <f t="shared" si="0"/>
        <v>Se encuentra en proceso, pero requiere continuar con acciones dirigidas a contar con dicho aspecto de control.</v>
      </c>
      <c r="I31" s="125">
        <f t="shared" si="1"/>
        <v>0.5</v>
      </c>
      <c r="J31" s="253">
        <f>+AVERAGE(I31:I40)</f>
        <v>0.9</v>
      </c>
    </row>
    <row r="32" spans="1:10" ht="57" customHeight="1" x14ac:dyDescent="0.35">
      <c r="A32" s="1"/>
      <c r="B32" s="1"/>
      <c r="C32" s="124">
        <v>14</v>
      </c>
      <c r="D32" s="270"/>
      <c r="E32" s="110" t="str">
        <f>+IFERROR(INDEX(Hoja1!$E$2:$E$45,MATCH('Análisis Resultados'!C32,Hoja1!$H$2:$H$45,0)),"")</f>
        <v>Si su capacidad e infraestructura lo permite, identificación de riesgos asociados a las tecnologías de la información y las comunicaciones</v>
      </c>
      <c r="F32" s="111" t="str">
        <f>+IFERROR(VLOOKUP(C32,Hoja1!$H$2:$I$45,2,0),"")</f>
        <v>En proceso</v>
      </c>
      <c r="G32" s="112" t="str">
        <f t="shared" si="0"/>
        <v>Se encuentra en proceso, pero requiere continuar con acciones dirigidas a contar con dicho aspecto de control.</v>
      </c>
      <c r="I32" s="126">
        <f t="shared" si="1"/>
        <v>0.5</v>
      </c>
      <c r="J32" s="254"/>
    </row>
    <row r="33" spans="1:10" ht="54" customHeight="1" x14ac:dyDescent="0.35">
      <c r="A33" s="1"/>
      <c r="B33" s="1"/>
      <c r="C33" s="124">
        <v>15</v>
      </c>
      <c r="D33" s="270"/>
      <c r="E33" s="110" t="str">
        <f>+IFERROR(INDEX(Hoja1!$E$2:$E$45,MATCH('Análisis Resultados'!C33,Hoja1!$H$2:$H$45,0)),"")</f>
        <v>La identificación de aquellos problemas o aspectos que pueden afectar el cumplimiento de los planes de la entidad y en general su gestión institucional (riesgos)</v>
      </c>
      <c r="F33" s="111" t="str">
        <f>+IFERROR(VLOOKUP(C33,Hoja1!$H$2:$I$45,2,0),"")</f>
        <v>Si</v>
      </c>
      <c r="G33" s="112" t="str">
        <f t="shared" si="0"/>
        <v>Existe requerimiento pero se requiere actividades  dirigidas a su mantenimiento dentro del marco de las lineas de defensa.</v>
      </c>
      <c r="I33" s="126">
        <f t="shared" si="1"/>
        <v>1</v>
      </c>
      <c r="J33" s="254"/>
    </row>
    <row r="34" spans="1:10" ht="31.5" x14ac:dyDescent="0.35">
      <c r="A34" s="1"/>
      <c r="B34" s="1"/>
      <c r="C34" s="124">
        <v>16</v>
      </c>
      <c r="D34" s="270"/>
      <c r="E34" s="110" t="str">
        <f>+IFERROR(INDEX(Hoja1!$E$2:$E$45,MATCH('Análisis Resultados'!C34,Hoja1!$H$2:$H$45,0)),"")</f>
        <v>La identificación  de los riesgos relacionados con posibles actos de corrupción en el ejercicio de sus funciones</v>
      </c>
      <c r="F34" s="111" t="str">
        <f>+IFERROR(VLOOKUP(C34,Hoja1!$H$2:$I$45,2,0),"")</f>
        <v>Si</v>
      </c>
      <c r="G34" s="112" t="str">
        <f t="shared" si="0"/>
        <v>Existe requerimiento pero se requiere actividades  dirigidas a su mantenimiento dentro del marco de las lineas de defensa.</v>
      </c>
      <c r="I34" s="126">
        <f t="shared" si="1"/>
        <v>1</v>
      </c>
      <c r="J34" s="254"/>
    </row>
    <row r="35" spans="1:10" ht="67.5" customHeight="1" x14ac:dyDescent="0.35">
      <c r="A35" s="1"/>
      <c r="B35" s="1"/>
      <c r="C35" s="124">
        <v>17</v>
      </c>
      <c r="D35" s="270"/>
      <c r="E35" s="110" t="str">
        <f>+IFERROR(INDEX(Hoja1!$E$2:$E$45,MATCH('Análisis Resultados'!C35,Hoja1!$H$2:$H$45,0)),"")</f>
        <v>Hacen seguimiento a los problemas (riesgos)  que pueden afectar el cumplimiento de sus procesos, programas o proyectos a cargo</v>
      </c>
      <c r="F35" s="111" t="str">
        <f>+IFERROR(VLOOKUP(C35,Hoja1!$H$2:$I$45,2,0),"")</f>
        <v>Si</v>
      </c>
      <c r="G35" s="112" t="str">
        <f t="shared" si="0"/>
        <v>Existe requerimiento pero se requiere actividades  dirigidas a su mantenimiento dentro del marco de las lineas de defensa.</v>
      </c>
      <c r="I35" s="126">
        <f t="shared" si="1"/>
        <v>1</v>
      </c>
      <c r="J35" s="254"/>
    </row>
    <row r="36" spans="1:10" ht="31.5" x14ac:dyDescent="0.35">
      <c r="A36" s="1"/>
      <c r="B36" s="1"/>
      <c r="C36" s="124">
        <v>18</v>
      </c>
      <c r="D36" s="270"/>
      <c r="E36" s="110" t="str">
        <f>+IFERROR(INDEX(Hoja1!$E$2:$E$45,MATCH('Análisis Resultados'!C36,Hoja1!$H$2:$H$45,0)),"")</f>
        <v>Informan de manera periódica a quien corresponda sobre el desempeño de las actividades de gestión de riesgos</v>
      </c>
      <c r="F36" s="111" t="str">
        <f>+IFERROR(VLOOKUP(C36,Hoja1!$H$2:$I$45,2,0),"")</f>
        <v>Si</v>
      </c>
      <c r="G36" s="112" t="str">
        <f t="shared" si="0"/>
        <v>Existe requerimiento pero se requiere actividades  dirigidas a su mantenimiento dentro del marco de las lineas de defensa.</v>
      </c>
      <c r="I36" s="126">
        <f t="shared" si="1"/>
        <v>1</v>
      </c>
      <c r="J36" s="254"/>
    </row>
    <row r="37" spans="1:10" ht="57" customHeight="1" x14ac:dyDescent="0.35">
      <c r="A37" s="1"/>
      <c r="B37" s="1"/>
      <c r="C37" s="124">
        <v>19</v>
      </c>
      <c r="D37" s="270"/>
      <c r="E37" s="110" t="str">
        <f>+IFERROR(INDEX(Hoja1!$E$2:$E$45,MATCH('Análisis Resultados'!C37,Hoja1!$H$2:$H$45,0)),"")</f>
        <v>Identifican deficiencias en las maneras de  controlar los riesgos o problemas en sus procesos, programas o proyectos, y propone los ajustes necesarios</v>
      </c>
      <c r="F37" s="111" t="str">
        <f>+IFERROR(VLOOKUP(C37,Hoja1!$H$2:$I$45,2,0),"")</f>
        <v>Si</v>
      </c>
      <c r="G37" s="112" t="str">
        <f t="shared" si="0"/>
        <v>Existe requerimiento pero se requiere actividades  dirigidas a su mantenimiento dentro del marco de las lineas de defensa.</v>
      </c>
      <c r="I37" s="126">
        <f t="shared" si="1"/>
        <v>1</v>
      </c>
      <c r="J37" s="254"/>
    </row>
    <row r="38" spans="1:10" ht="31.5" x14ac:dyDescent="0.35">
      <c r="A38" s="1"/>
      <c r="B38" s="1"/>
      <c r="C38" s="124">
        <v>20</v>
      </c>
      <c r="D38" s="270"/>
      <c r="E38" s="110" t="str">
        <f>+IFERROR(INDEX(Hoja1!$E$2:$E$45,MATCH('Análisis Resultados'!C38,Hoja1!$H$2:$H$45,0)),"")</f>
        <v>Se definen espacios de reunión para conocerlos y proponer acciones para su solución</v>
      </c>
      <c r="F38" s="111" t="str">
        <f>+IFERROR(VLOOKUP(C38,Hoja1!$H$2:$I$45,2,0),"")</f>
        <v>Si</v>
      </c>
      <c r="G38" s="112" t="str">
        <f t="shared" si="0"/>
        <v>Existe requerimiento pero se requiere actividades  dirigidas a su mantenimiento dentro del marco de las lineas de defensa.</v>
      </c>
      <c r="I38" s="126">
        <f t="shared" si="1"/>
        <v>1</v>
      </c>
      <c r="J38" s="254"/>
    </row>
    <row r="39" spans="1:10" ht="31.5" x14ac:dyDescent="0.35">
      <c r="A39" s="1"/>
      <c r="B39" s="1"/>
      <c r="C39" s="124">
        <v>21</v>
      </c>
      <c r="D39" s="270"/>
      <c r="E39" s="110" t="str">
        <f>+IFERROR(INDEX(Hoja1!$E$2:$E$45,MATCH('Análisis Resultados'!C39,Hoja1!$H$2:$H$45,0)),"")</f>
        <v>Cada líder del equipo autónomamente toma las acciones para solucionarlos.</v>
      </c>
      <c r="F39" s="111" t="str">
        <f>+IFERROR(VLOOKUP(C39,Hoja1!$H$2:$I$45,2,0),"")</f>
        <v>Si</v>
      </c>
      <c r="G39" s="112" t="str">
        <f t="shared" si="0"/>
        <v>Existe requerimiento pero se requiere actividades  dirigidas a su mantenimiento dentro del marco de las lineas de defensa.</v>
      </c>
      <c r="I39" s="126">
        <f t="shared" si="1"/>
        <v>1</v>
      </c>
      <c r="J39" s="254"/>
    </row>
    <row r="40" spans="1:10" ht="32" thickBot="1" x14ac:dyDescent="0.4">
      <c r="A40" s="1"/>
      <c r="B40" s="1"/>
      <c r="C40" s="124">
        <v>22</v>
      </c>
      <c r="D40" s="270"/>
      <c r="E40" s="116" t="str">
        <f>+IFERROR(INDEX(Hoja1!$E$2:$E$45,MATCH('Análisis Resultados'!C40,Hoja1!$H$2:$H$45,0)),"")</f>
        <v>Solamente hasta que un organismo de control actúa se definen acciones de mejora.</v>
      </c>
      <c r="F40" s="117" t="str">
        <f>+IFERROR(VLOOKUP(C40,Hoja1!$H$2:$I$45,2,0),"")</f>
        <v>Si</v>
      </c>
      <c r="G40" s="118" t="str">
        <f t="shared" si="0"/>
        <v>Existe requerimiento pero se requiere actividades  dirigidas a su mantenimiento dentro del marco de las lineas de defensa.</v>
      </c>
      <c r="I40" s="128">
        <f t="shared" si="1"/>
        <v>1</v>
      </c>
      <c r="J40" s="254"/>
    </row>
    <row r="41" spans="1:10" ht="87.75" customHeight="1" x14ac:dyDescent="0.35">
      <c r="A41" s="1"/>
      <c r="B41" s="1"/>
      <c r="C41" s="124">
        <v>23</v>
      </c>
      <c r="D41" s="265" t="s">
        <v>88</v>
      </c>
      <c r="E41" s="107" t="str">
        <f>+IFERROR(INDEX(Hoja1!$E$2:$E$45,MATCH('Análisis Resultados'!C41,Hoja1!$H$2:$H$45,0)),"")</f>
        <v>Mecanismos de verificación de si se están o no mitigando los riesgos, o en su defecto, elaboración de planes de contingencia para subsanar sus consecuencias</v>
      </c>
      <c r="F41" s="108" t="str">
        <f>+IFERROR(VLOOKUP(C41,Hoja1!$H$2:$I$45,2,0),"")</f>
        <v>En proceso</v>
      </c>
      <c r="G41" s="109" t="str">
        <f t="shared" si="0"/>
        <v>Se encuentra en proceso, pero requiere continuar con acciones dirigidas a contar con dicho aspecto de control.</v>
      </c>
      <c r="I41" s="125">
        <f t="shared" si="1"/>
        <v>0.5</v>
      </c>
      <c r="J41" s="253">
        <f>+AVERAGE(I41:I45)</f>
        <v>0.8</v>
      </c>
    </row>
    <row r="42" spans="1:10" ht="42" x14ac:dyDescent="0.35">
      <c r="A42" s="1"/>
      <c r="B42" s="1"/>
      <c r="C42" s="124">
        <v>24</v>
      </c>
      <c r="D42" s="266"/>
      <c r="E42" s="110" t="str">
        <f>+IFERROR(INDEX(Hoja1!$E$2:$E$45,MATCH('Análisis Resultados'!C42,Hoja1!$H$2:$H$45,0)),"")</f>
        <v>Planes, acciones o estrategias que permitan subsanar las consecuencias de la materialización de los riesgos, cuando se presentan</v>
      </c>
      <c r="F42" s="111" t="str">
        <f>+IFERROR(VLOOKUP(C42,Hoja1!$H$2:$I$45,2,0),"")</f>
        <v>En proceso</v>
      </c>
      <c r="G42" s="112" t="str">
        <f t="shared" si="0"/>
        <v>Se encuentra en proceso, pero requiere continuar con acciones dirigidas a contar con dicho aspecto de control.</v>
      </c>
      <c r="I42" s="126">
        <f t="shared" si="1"/>
        <v>0.5</v>
      </c>
      <c r="J42" s="254"/>
    </row>
    <row r="43" spans="1:10" ht="85.5" customHeight="1" x14ac:dyDescent="0.35">
      <c r="A43" s="1"/>
      <c r="B43" s="1"/>
      <c r="C43" s="124">
        <v>25</v>
      </c>
      <c r="D43" s="266"/>
      <c r="E43" s="110" t="str">
        <f>+IFERROR(INDEX(Hoja1!$E$2:$E$45,MATCH('Análisis Resultados'!C43,Hoja1!$H$2:$H$45,0)),"")</f>
        <v>La definición de acciones o actividades para para dar tratamiento a los problemas identificados (mitigación de riesgos), incluyendo aquellos asociados a posibles actos de corrupción</v>
      </c>
      <c r="F43" s="111" t="str">
        <f>+IFERROR(VLOOKUP(C43,Hoja1!$H$2:$I$45,2,0),"")</f>
        <v>Si</v>
      </c>
      <c r="G43" s="112" t="str">
        <f t="shared" si="0"/>
        <v>Existe requerimiento pero se requiere actividades  dirigidas a su mantenimiento dentro del marco de las lineas de defensa.</v>
      </c>
      <c r="I43" s="126">
        <f t="shared" si="1"/>
        <v>1</v>
      </c>
      <c r="J43" s="254"/>
    </row>
    <row r="44" spans="1:10" ht="57" customHeight="1" x14ac:dyDescent="0.35">
      <c r="A44" s="1"/>
      <c r="B44" s="1"/>
      <c r="C44" s="124">
        <v>26</v>
      </c>
      <c r="D44" s="266"/>
      <c r="E44" s="110"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1" t="str">
        <f>+IFERROR(VLOOKUP(C44,Hoja1!$H$2:$I$45,2,0),"")</f>
        <v>Si</v>
      </c>
      <c r="G44" s="112" t="str">
        <f t="shared" si="0"/>
        <v>Existe requerimiento pero se requiere actividades  dirigidas a su mantenimiento dentro del marco de las lineas de defensa.</v>
      </c>
      <c r="I44" s="126">
        <f t="shared" si="1"/>
        <v>1</v>
      </c>
      <c r="J44" s="254"/>
    </row>
    <row r="45" spans="1:10" ht="57" customHeight="1" thickBot="1" x14ac:dyDescent="0.4">
      <c r="A45" s="1"/>
      <c r="B45" s="1"/>
      <c r="C45" s="124">
        <v>27</v>
      </c>
      <c r="D45" s="267"/>
      <c r="E45" s="113" t="str">
        <f>+IFERROR(INDEX(Hoja1!$E$2:$E$45,MATCH('Análisis Resultados'!C45,Hoja1!$H$2:$H$45,0)),"")</f>
        <v>Un plan anticorrupción y de servicio al ciudadano con los temas que le aplican, publicado en algún medio para conocimiento de la ciudadanía</v>
      </c>
      <c r="F45" s="114" t="str">
        <f>+IFERROR(VLOOKUP(C45,Hoja1!$H$2:$I$45,2,0),"")</f>
        <v>Si</v>
      </c>
      <c r="G45" s="115" t="str">
        <f t="shared" si="0"/>
        <v>Existe requerimiento pero se requiere actividades  dirigidas a su mantenimiento dentro del marco de las lineas de defensa.</v>
      </c>
      <c r="I45" s="127">
        <f t="shared" si="1"/>
        <v>1</v>
      </c>
      <c r="J45" s="268"/>
    </row>
    <row r="46" spans="1:10" ht="63.75" customHeight="1" x14ac:dyDescent="0.35">
      <c r="A46" s="1"/>
      <c r="B46" s="1"/>
      <c r="C46" s="124">
        <v>28</v>
      </c>
      <c r="D46" s="264" t="s">
        <v>97</v>
      </c>
      <c r="E46" s="119" t="str">
        <f>+IFERROR(INDEX(Hoja1!$E$2:$E$45,MATCH('Análisis Resultados'!C46,Hoja1!$H$2:$H$45,0)),"")</f>
        <v xml:space="preserve">Lineamientos para dar tratamiento a la información de carácter reservado </v>
      </c>
      <c r="F46" s="120" t="str">
        <f>+IFERROR(VLOOKUP(C46,Hoja1!$H$2:$I$45,2,0),"")</f>
        <v>No</v>
      </c>
      <c r="G46" s="121" t="str">
        <f t="shared" si="0"/>
        <v>No se encuentra el aspecto  por lo tanto la entidad debera generar acciones dirigidas a que se cumpla con el requerimiento.</v>
      </c>
      <c r="I46" s="129">
        <f t="shared" si="1"/>
        <v>0</v>
      </c>
      <c r="J46" s="254">
        <f>+AVERAGE(I46:I52)</f>
        <v>0.7142857142857143</v>
      </c>
    </row>
    <row r="47" spans="1:10" ht="92.25" customHeight="1" x14ac:dyDescent="0.35">
      <c r="A47" s="1"/>
      <c r="B47" s="1"/>
      <c r="C47" s="124">
        <v>29</v>
      </c>
      <c r="D47" s="264"/>
      <c r="E47" s="110" t="str">
        <f>+IFERROR(INDEX(Hoja1!$E$2:$E$45,MATCH('Análisis Resultados'!C47,Hoja1!$H$2:$H$45,0)),"")</f>
        <v>Identificación de información que produce en el marco de su gestión (Para los ciudadanos, organismos de control, organismos gubernamentales, entre otros)</v>
      </c>
      <c r="F47" s="111" t="str">
        <f>+IFERROR(VLOOKUP(C47,Hoja1!$H$2:$I$45,2,0),"")</f>
        <v>En proceso</v>
      </c>
      <c r="G47" s="122" t="str">
        <f t="shared" si="0"/>
        <v>Se encuentra en proceso, pero requiere continuar con acciones dirigidas a contar con dicho aspecto de control.</v>
      </c>
      <c r="I47" s="130">
        <f t="shared" si="1"/>
        <v>0.5</v>
      </c>
      <c r="J47" s="254"/>
    </row>
    <row r="48" spans="1:10" ht="66.75" customHeight="1" x14ac:dyDescent="0.35">
      <c r="A48" s="1"/>
      <c r="B48" s="1"/>
      <c r="C48" s="124">
        <v>30</v>
      </c>
      <c r="D48" s="264"/>
      <c r="E48" s="110" t="str">
        <f>+IFERROR(INDEX(Hoja1!$E$2:$E$45,MATCH('Análisis Resultados'!C48,Hoja1!$H$2:$H$45,0)),"")</f>
        <v>Identificación de información necesaria para la operación de la entidad (normograma, presupuesto, talento humano, infraestructura física y tecnológica)</v>
      </c>
      <c r="F48" s="111" t="str">
        <f>+IFERROR(VLOOKUP(C48,Hoja1!$H$2:$I$45,2,0),"")</f>
        <v>En proceso</v>
      </c>
      <c r="G48" s="122" t="str">
        <f t="shared" si="0"/>
        <v>Se encuentra en proceso, pero requiere continuar con acciones dirigidas a contar con dicho aspecto de control.</v>
      </c>
      <c r="I48" s="130">
        <f t="shared" si="1"/>
        <v>0.5</v>
      </c>
      <c r="J48" s="254"/>
    </row>
    <row r="49" spans="1:10" ht="60" customHeight="1" x14ac:dyDescent="0.35">
      <c r="A49" s="1"/>
      <c r="B49" s="1"/>
      <c r="C49" s="124">
        <v>31</v>
      </c>
      <c r="D49" s="264"/>
      <c r="E49" s="110" t="str">
        <f>+IFERROR(INDEX(Hoja1!$E$2:$E$45,MATCH('Análisis Resultados'!C49,Hoja1!$H$2:$H$45,0)),"")</f>
        <v>Responsables de la información institucional</v>
      </c>
      <c r="F49" s="111" t="str">
        <f>+IFERROR(VLOOKUP(C49,Hoja1!$H$2:$I$45,2,0),"")</f>
        <v>Si</v>
      </c>
      <c r="G49" s="122" t="str">
        <f t="shared" si="0"/>
        <v>Existe requerimiento pero se requiere actividades  dirigidas a su mantenimiento dentro del marco de las lineas de defensa.</v>
      </c>
      <c r="I49" s="130">
        <f t="shared" si="1"/>
        <v>1</v>
      </c>
      <c r="J49" s="254"/>
    </row>
    <row r="50" spans="1:10" ht="57" customHeight="1" x14ac:dyDescent="0.35">
      <c r="A50" s="1"/>
      <c r="B50" s="1"/>
      <c r="C50" s="124">
        <v>32</v>
      </c>
      <c r="D50" s="264"/>
      <c r="E50" s="110" t="str">
        <f>+IFERROR(INDEX(Hoja1!$E$2:$E$45,MATCH('Análisis Resultados'!C50,Hoja1!$H$2:$H$45,0)),"")</f>
        <v>Canales de comunicación con los ciudadanos</v>
      </c>
      <c r="F50" s="111" t="str">
        <f>+IFERROR(VLOOKUP(C50,Hoja1!$H$2:$I$45,2,0),"")</f>
        <v>Si</v>
      </c>
      <c r="G50" s="122" t="str">
        <f t="shared" si="0"/>
        <v>Existe requerimiento pero se requiere actividades  dirigidas a su mantenimiento dentro del marco de las lineas de defensa.</v>
      </c>
      <c r="I50" s="130">
        <f t="shared" si="1"/>
        <v>1</v>
      </c>
      <c r="J50" s="254"/>
    </row>
    <row r="51" spans="1:10" ht="57" customHeight="1" x14ac:dyDescent="0.35">
      <c r="A51" s="1"/>
      <c r="B51" s="1"/>
      <c r="C51" s="124">
        <v>33</v>
      </c>
      <c r="D51" s="264"/>
      <c r="E51" s="110" t="str">
        <f>+IFERROR(INDEX(Hoja1!$E$2:$E$45,MATCH('Análisis Resultados'!C51,Hoja1!$H$2:$H$45,0)),"")</f>
        <v>Canales de comunicación o mecanismos de reporte de información a otros organismos gubernamentales o de control</v>
      </c>
      <c r="F51" s="111" t="str">
        <f>+IFERROR(VLOOKUP(C51,Hoja1!$H$2:$I$45,2,0),"")</f>
        <v>Si</v>
      </c>
      <c r="G51" s="122" t="str">
        <f t="shared" si="0"/>
        <v>Existe requerimiento pero se requiere actividades  dirigidas a su mantenimiento dentro del marco de las lineas de defensa.</v>
      </c>
      <c r="I51" s="130">
        <f t="shared" si="1"/>
        <v>1</v>
      </c>
      <c r="J51" s="254"/>
    </row>
    <row r="52" spans="1:10" ht="42.5" thickBot="1" x14ac:dyDescent="0.4">
      <c r="A52" s="1"/>
      <c r="B52" s="1"/>
      <c r="C52" s="124">
        <v>34</v>
      </c>
      <c r="D52" s="264"/>
      <c r="E52" s="116" t="str">
        <f>+IFERROR(INDEX(Hoja1!$E$2:$E$45,MATCH('Análisis Resultados'!C52,Hoja1!$H$2:$H$45,0)),"")</f>
        <v>Si su capacidad e infraestructura lo permite, tecnologías de la información y las comunicaciones que soporten estos procesos</v>
      </c>
      <c r="F52" s="117" t="str">
        <f>+IFERROR(VLOOKUP(C52,Hoja1!$H$2:$I$45,2,0),"")</f>
        <v>Si</v>
      </c>
      <c r="G52" s="123" t="str">
        <f t="shared" si="0"/>
        <v>Existe requerimiento pero se requiere actividades  dirigidas a su mantenimiento dentro del marco de las lineas de defensa.</v>
      </c>
      <c r="I52" s="131">
        <f t="shared" si="1"/>
        <v>1</v>
      </c>
      <c r="J52" s="254"/>
    </row>
    <row r="53" spans="1:10" ht="41.25" customHeight="1" x14ac:dyDescent="0.35">
      <c r="A53" s="1"/>
      <c r="B53" s="1"/>
      <c r="C53" s="124">
        <v>35</v>
      </c>
      <c r="D53" s="258" t="s">
        <v>114</v>
      </c>
      <c r="E53" s="107" t="str">
        <f>+IFERROR(INDEX(Hoja1!$E$2:$E$45,MATCH('Análisis Resultados'!C53,Hoja1!$H$2:$H$45,0)),"")</f>
        <v>Mecanismos de evaluación de la gestión (cronogramas, indicadores, listas de chequeo u otros)</v>
      </c>
      <c r="F53" s="108" t="str">
        <f>+IFERROR(VLOOKUP(C53,Hoja1!$H$2:$I$45,2,0),"")</f>
        <v>En proceso</v>
      </c>
      <c r="G53" s="109" t="str">
        <f t="shared" si="0"/>
        <v>Se encuentra en proceso, pero requiere continuar con acciones dirigidas a contar con dicho aspecto de control.</v>
      </c>
      <c r="I53" s="125">
        <f t="shared" si="1"/>
        <v>0.5</v>
      </c>
      <c r="J53" s="261">
        <f>+AVERAGE(I53:I62)</f>
        <v>0.75</v>
      </c>
    </row>
    <row r="54" spans="1:10" ht="58.5" customHeight="1" x14ac:dyDescent="0.35">
      <c r="A54" s="1"/>
      <c r="B54" s="1"/>
      <c r="C54" s="124">
        <v>36</v>
      </c>
      <c r="D54" s="259"/>
      <c r="E54" s="110" t="str">
        <f>+IFERROR(INDEX(Hoja1!$E$2:$E$45,MATCH('Análisis Resultados'!C54,Hoja1!$H$2:$H$45,0)),"")</f>
        <v>Evitar que los problemas (riesgos) obstaculicen el cumplimiento de los objetivos.</v>
      </c>
      <c r="F54" s="111" t="str">
        <f>+IFERROR(VLOOKUP(C54,Hoja1!$H$2:$I$45,2,0),"")</f>
        <v>En proceso</v>
      </c>
      <c r="G54" s="112" t="str">
        <f t="shared" si="0"/>
        <v>Se encuentra en proceso, pero requiere continuar con acciones dirigidas a contar con dicho aspecto de control.</v>
      </c>
      <c r="I54" s="126">
        <f t="shared" si="1"/>
        <v>0.5</v>
      </c>
      <c r="J54" s="262"/>
    </row>
    <row r="55" spans="1:10" s="1" customFormat="1" ht="84.75" customHeight="1" x14ac:dyDescent="0.35">
      <c r="C55" s="124">
        <v>37</v>
      </c>
      <c r="D55" s="259"/>
      <c r="E55" s="110" t="str">
        <f>+IFERROR(INDEX(Hoja1!$E$2:$E$45,MATCH('Análisis Resultados'!C55,Hoja1!$H$2:$H$45,0)),"")</f>
        <v>Controlar los puntos críticos en los procesos.</v>
      </c>
      <c r="F55" s="111" t="str">
        <f>+IFERROR(VLOOKUP(C55,Hoja1!$H$2:$I$45,2,0),"")</f>
        <v>En proceso</v>
      </c>
      <c r="G55" s="112" t="str">
        <f t="shared" si="0"/>
        <v>Se encuentra en proceso, pero requiere continuar con acciones dirigidas a contar con dicho aspecto de control.</v>
      </c>
      <c r="I55" s="126">
        <f t="shared" si="1"/>
        <v>0.5</v>
      </c>
      <c r="J55" s="262"/>
    </row>
    <row r="56" spans="1:10" s="1" customFormat="1" ht="78.75" customHeight="1" x14ac:dyDescent="0.35">
      <c r="C56" s="124">
        <v>38</v>
      </c>
      <c r="D56" s="259"/>
      <c r="E56" s="110" t="str">
        <f>+IFERROR(INDEX(Hoja1!$E$2:$E$45,MATCH('Análisis Resultados'!C56,Hoja1!$H$2:$H$45,0)),"")</f>
        <v>Diseñar acciones adecuadas para controlar los problemas que afectan el cumplimiento de las metas y objetivos institucionales (riesgos).</v>
      </c>
      <c r="F56" s="111" t="str">
        <f>+IFERROR(VLOOKUP(C56,Hoja1!$H$2:$I$45,2,0),"")</f>
        <v>En proceso</v>
      </c>
      <c r="G56" s="112" t="str">
        <f t="shared" si="0"/>
        <v>Se encuentra en proceso, pero requiere continuar con acciones dirigidas a contar con dicho aspecto de control.</v>
      </c>
      <c r="I56" s="126">
        <f t="shared" si="1"/>
        <v>0.5</v>
      </c>
      <c r="J56" s="262"/>
    </row>
    <row r="57" spans="1:10" s="1" customFormat="1" ht="54.75" customHeight="1" x14ac:dyDescent="0.35">
      <c r="C57" s="124">
        <v>39</v>
      </c>
      <c r="D57" s="259"/>
      <c r="E57" s="110" t="str">
        <f>+IFERROR(INDEX(Hoja1!$E$2:$E$45,MATCH('Análisis Resultados'!C57,Hoja1!$H$2:$H$45,0)),"")</f>
        <v>Ejecutar las acciones de acuerdo a como se diseñaron previamente.</v>
      </c>
      <c r="F57" s="111" t="str">
        <f>+IFERROR(VLOOKUP(C57,Hoja1!$H$2:$I$45,2,0),"")</f>
        <v>En proceso</v>
      </c>
      <c r="G57" s="112" t="str">
        <f t="shared" si="0"/>
        <v>Se encuentra en proceso, pero requiere continuar con acciones dirigidas a contar con dicho aspecto de control.</v>
      </c>
      <c r="I57" s="126">
        <f t="shared" si="1"/>
        <v>0.5</v>
      </c>
      <c r="J57" s="262"/>
    </row>
    <row r="58" spans="1:10" s="1" customFormat="1" ht="68.25" customHeight="1" x14ac:dyDescent="0.35">
      <c r="C58" s="124">
        <v>40</v>
      </c>
      <c r="D58" s="259"/>
      <c r="E58" s="110"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11" t="str">
        <f>+IFERROR(VLOOKUP(C58,Hoja1!$H$2:$I$45,2,0),"")</f>
        <v>Si</v>
      </c>
      <c r="G58" s="112" t="str">
        <f t="shared" si="0"/>
        <v>Existe requerimiento pero se requiere actividades  dirigidas a su mantenimiento dentro del marco de las lineas de defensa.</v>
      </c>
      <c r="I58" s="126">
        <f t="shared" si="1"/>
        <v>1</v>
      </c>
      <c r="J58" s="262"/>
    </row>
    <row r="59" spans="1:10" s="1" customFormat="1" ht="45" customHeight="1" x14ac:dyDescent="0.35">
      <c r="C59" s="124">
        <v>41</v>
      </c>
      <c r="D59" s="259"/>
      <c r="E59" s="110" t="str">
        <f>+IFERROR(INDEX(Hoja1!$E$2:$E$45,MATCH('Análisis Resultados'!C59,Hoja1!$H$2:$H$45,0)),"")</f>
        <v>Medidas correctivas en caso de detectarse deficiencias en los ejercicios de evaluación, seguimiento o auditoría</v>
      </c>
      <c r="F59" s="111" t="str">
        <f>+IFERROR(VLOOKUP(C59,Hoja1!$H$2:$I$45,2,0),"")</f>
        <v>Si</v>
      </c>
      <c r="G59" s="112" t="str">
        <f t="shared" si="0"/>
        <v>Existe requerimiento pero se requiere actividades  dirigidas a su mantenimiento dentro del marco de las lineas de defensa.</v>
      </c>
      <c r="I59" s="126">
        <f t="shared" si="1"/>
        <v>1</v>
      </c>
      <c r="J59" s="262"/>
    </row>
    <row r="60" spans="1:10" s="1" customFormat="1" ht="51.75" customHeight="1" x14ac:dyDescent="0.35">
      <c r="C60" s="124">
        <v>42</v>
      </c>
      <c r="D60" s="259"/>
      <c r="E60" s="110" t="str">
        <f>+IFERROR(INDEX(Hoja1!$E$2:$E$45,MATCH('Análisis Resultados'!C60,Hoja1!$H$2:$H$45,0)),"")</f>
        <v>Seguimiento a los planes de mejoramiento suscritos con instancias de control internas o externas</v>
      </c>
      <c r="F60" s="111" t="str">
        <f>+IFERROR(VLOOKUP(C60,Hoja1!$H$2:$I$45,2,0),"")</f>
        <v>Si</v>
      </c>
      <c r="G60" s="112" t="str">
        <f t="shared" si="0"/>
        <v>Existe requerimiento pero se requiere actividades  dirigidas a su mantenimiento dentro del marco de las lineas de defensa.</v>
      </c>
      <c r="I60" s="126">
        <f t="shared" si="1"/>
        <v>1</v>
      </c>
      <c r="J60" s="262"/>
    </row>
    <row r="61" spans="1:10" s="1" customFormat="1" ht="84" customHeight="1" x14ac:dyDescent="0.35">
      <c r="C61" s="124">
        <v>43</v>
      </c>
      <c r="D61" s="259"/>
      <c r="E61" s="110" t="str">
        <f>+IFERROR(INDEX(Hoja1!$E$2:$E$45,MATCH('Análisis Resultados'!C61,Hoja1!$H$2:$H$45,0)),"")</f>
        <v>La entidad participa en el  Comité Municipal de Auditoría?</v>
      </c>
      <c r="F61" s="111" t="str">
        <f>+IFERROR(VLOOKUP(C61,Hoja1!$H$2:$I$45,2,0),"")</f>
        <v>Si</v>
      </c>
      <c r="G61" s="112" t="str">
        <f t="shared" si="0"/>
        <v>Existe requerimiento pero se requiere actividades  dirigidas a su mantenimiento dentro del marco de las lineas de defensa.</v>
      </c>
      <c r="I61" s="126">
        <f t="shared" si="1"/>
        <v>1</v>
      </c>
      <c r="J61" s="262"/>
    </row>
    <row r="62" spans="1:10" s="1" customFormat="1" ht="60" customHeight="1" thickBot="1" x14ac:dyDescent="0.4">
      <c r="C62" s="124">
        <v>44</v>
      </c>
      <c r="D62" s="260"/>
      <c r="E62" s="113" t="str">
        <f>+IFERROR(INDEX(Hoja1!$E$2:$E$45,MATCH('Análisis Resultados'!C62,Hoja1!$H$2:$H$45,0)),"")</f>
        <v>No se gestionan los problemas que afectan el cumplimiento de las funciones y objetivos institucionales(riesgos).</v>
      </c>
      <c r="F62" s="114" t="str">
        <f>+IFERROR(VLOOKUP(C62,Hoja1!$H$2:$I$45,2,0),"")</f>
        <v>Si</v>
      </c>
      <c r="G62" s="115" t="str">
        <f t="shared" si="0"/>
        <v>Existe requerimiento pero se requiere actividades  dirigidas a su mantenimiento dentro del marco de las lineas de defensa.</v>
      </c>
      <c r="I62" s="127">
        <f t="shared" si="1"/>
        <v>1</v>
      </c>
      <c r="J62" s="263"/>
    </row>
    <row r="63" spans="1:10" s="1" customFormat="1" x14ac:dyDescent="0.35"/>
    <row r="64" spans="1:10" s="1" customFormat="1" x14ac:dyDescent="0.35"/>
    <row r="65" spans="1:2" s="1" customFormat="1" x14ac:dyDescent="0.35"/>
    <row r="66" spans="1:2" s="1" customFormat="1" x14ac:dyDescent="0.35"/>
    <row r="67" spans="1:2" s="1" customFormat="1" x14ac:dyDescent="0.35"/>
    <row r="68" spans="1:2" s="1" customFormat="1" x14ac:dyDescent="0.35"/>
    <row r="69" spans="1:2" s="1" customFormat="1" x14ac:dyDescent="0.35"/>
    <row r="70" spans="1:2" s="1" customFormat="1" x14ac:dyDescent="0.35"/>
    <row r="71" spans="1:2" x14ac:dyDescent="0.35">
      <c r="A71" s="1"/>
      <c r="B71" s="1"/>
    </row>
    <row r="72" spans="1:2" x14ac:dyDescent="0.35">
      <c r="A72" s="1"/>
      <c r="B72" s="1"/>
    </row>
    <row r="73" spans="1:2" x14ac:dyDescent="0.35">
      <c r="A73" s="1"/>
      <c r="B73" s="1"/>
    </row>
    <row r="74" spans="1:2" x14ac:dyDescent="0.3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topLeftCell="A28" zoomScale="64" zoomScaleNormal="64" workbookViewId="0">
      <selection activeCell="I34" sqref="I34:M34"/>
    </sheetView>
  </sheetViews>
  <sheetFormatPr baseColWidth="10" defaultColWidth="11.453125" defaultRowHeight="14.5" x14ac:dyDescent="0.35"/>
  <cols>
    <col min="1" max="1" width="4.453125" customWidth="1"/>
    <col min="3" max="3" width="35.453125" customWidth="1"/>
    <col min="4" max="4" width="13" customWidth="1"/>
    <col min="5" max="5" width="43.26953125" customWidth="1"/>
    <col min="7" max="7" width="33.81640625" customWidth="1"/>
    <col min="9" max="9" width="92.26953125" customWidth="1"/>
    <col min="13" max="13" width="29" customWidth="1"/>
  </cols>
  <sheetData>
    <row r="1" spans="1:17" s="1" customFormat="1" x14ac:dyDescent="0.35"/>
    <row r="2" spans="1:17" ht="15" thickBot="1" x14ac:dyDescent="0.4">
      <c r="A2" s="1"/>
      <c r="B2" s="1"/>
      <c r="C2" s="1"/>
      <c r="D2" s="1"/>
      <c r="E2" s="1"/>
      <c r="F2" s="1"/>
      <c r="G2" s="1"/>
      <c r="H2" s="1"/>
      <c r="I2" s="1"/>
      <c r="J2" s="1"/>
      <c r="K2" s="1"/>
      <c r="L2" s="1"/>
      <c r="M2" s="1"/>
      <c r="N2" s="1"/>
      <c r="O2" s="1"/>
      <c r="P2" s="1"/>
      <c r="Q2" s="1"/>
    </row>
    <row r="3" spans="1:17" ht="15" thickTop="1" x14ac:dyDescent="0.35">
      <c r="A3" s="1"/>
      <c r="B3" s="2"/>
      <c r="C3" s="3"/>
      <c r="D3" s="3"/>
      <c r="E3" s="3"/>
      <c r="F3" s="3"/>
      <c r="G3" s="3"/>
      <c r="H3" s="3"/>
      <c r="I3" s="3"/>
      <c r="J3" s="3"/>
      <c r="K3" s="3"/>
      <c r="L3" s="3"/>
      <c r="M3" s="3"/>
      <c r="N3" s="3"/>
      <c r="O3" s="3"/>
      <c r="P3" s="4"/>
      <c r="Q3" s="1"/>
    </row>
    <row r="4" spans="1:17" x14ac:dyDescent="0.35">
      <c r="A4" s="1"/>
      <c r="B4" s="5"/>
      <c r="C4" s="1"/>
      <c r="D4" s="1"/>
      <c r="E4" s="291" t="s">
        <v>148</v>
      </c>
      <c r="F4" s="293" t="s">
        <v>149</v>
      </c>
      <c r="G4" s="293"/>
      <c r="H4" s="293"/>
      <c r="I4" s="293"/>
      <c r="J4" s="293"/>
      <c r="K4" s="293"/>
      <c r="L4" s="293"/>
      <c r="M4" s="293"/>
      <c r="N4" s="6"/>
      <c r="O4" s="6"/>
      <c r="P4" s="7"/>
      <c r="Q4" s="1"/>
    </row>
    <row r="5" spans="1:17" ht="45.75" customHeight="1" x14ac:dyDescent="0.35">
      <c r="A5" s="1"/>
      <c r="B5" s="5"/>
      <c r="C5" s="1"/>
      <c r="D5" s="1"/>
      <c r="E5" s="292"/>
      <c r="F5" s="293"/>
      <c r="G5" s="293"/>
      <c r="H5" s="293"/>
      <c r="I5" s="293"/>
      <c r="J5" s="293"/>
      <c r="K5" s="293"/>
      <c r="L5" s="293"/>
      <c r="M5" s="293"/>
      <c r="N5" s="6"/>
      <c r="O5" s="6"/>
      <c r="P5" s="7"/>
      <c r="Q5" s="1"/>
    </row>
    <row r="6" spans="1:17" ht="66.75" customHeight="1" x14ac:dyDescent="0.35">
      <c r="A6" s="1"/>
      <c r="B6" s="5"/>
      <c r="C6" s="1"/>
      <c r="D6" s="1"/>
      <c r="E6" s="87" t="s">
        <v>150</v>
      </c>
      <c r="F6" s="294" t="s">
        <v>242</v>
      </c>
      <c r="G6" s="295"/>
      <c r="H6" s="295"/>
      <c r="I6" s="295"/>
      <c r="J6" s="295"/>
      <c r="K6" s="295"/>
      <c r="L6" s="295"/>
      <c r="M6" s="296"/>
      <c r="N6" s="8"/>
      <c r="O6" s="8"/>
      <c r="P6" s="7"/>
      <c r="Q6" s="1"/>
    </row>
    <row r="7" spans="1:17" ht="15" thickBot="1" x14ac:dyDescent="0.4">
      <c r="A7" s="1"/>
      <c r="B7" s="5"/>
      <c r="C7" s="1"/>
      <c r="D7" s="1"/>
      <c r="E7" s="9"/>
      <c r="F7" s="8"/>
      <c r="G7" s="8"/>
      <c r="H7" s="8"/>
      <c r="I7" s="8"/>
      <c r="J7" s="8"/>
      <c r="K7" s="8"/>
      <c r="L7" s="8"/>
      <c r="M7" s="1"/>
      <c r="N7" s="1"/>
      <c r="O7" s="1"/>
      <c r="P7" s="7"/>
      <c r="Q7" s="1"/>
    </row>
    <row r="8" spans="1:17" ht="97.5" customHeight="1" thickBot="1" x14ac:dyDescent="0.4">
      <c r="A8" s="1"/>
      <c r="B8" s="5"/>
      <c r="C8" s="1"/>
      <c r="D8" s="1"/>
      <c r="E8" s="1"/>
      <c r="F8" s="1"/>
      <c r="G8" s="1"/>
      <c r="H8" s="1"/>
      <c r="I8" s="297" t="s">
        <v>151</v>
      </c>
      <c r="J8" s="298"/>
      <c r="K8" s="299"/>
      <c r="L8" s="1"/>
      <c r="M8" s="132">
        <f>+AVERAGE(G26,G28,G30,G32,G34)</f>
        <v>0.79119047619047622</v>
      </c>
      <c r="N8" s="10"/>
      <c r="O8" s="10"/>
      <c r="P8" s="7"/>
      <c r="Q8" s="1"/>
    </row>
    <row r="9" spans="1:17" ht="15.5" x14ac:dyDescent="0.35">
      <c r="A9" s="1"/>
      <c r="B9" s="5"/>
      <c r="C9" s="1"/>
      <c r="D9" s="1"/>
      <c r="E9" s="1"/>
      <c r="F9" s="1"/>
      <c r="G9" s="1"/>
      <c r="H9" s="1"/>
      <c r="I9" s="1"/>
      <c r="J9" s="1"/>
      <c r="K9" s="1"/>
      <c r="L9" s="1"/>
      <c r="M9" s="11"/>
      <c r="N9" s="11"/>
      <c r="O9" s="11"/>
      <c r="P9" s="7"/>
      <c r="Q9" s="1"/>
    </row>
    <row r="10" spans="1:17" x14ac:dyDescent="0.35">
      <c r="A10" s="1"/>
      <c r="B10" s="5"/>
      <c r="C10" s="1"/>
      <c r="D10" s="1"/>
      <c r="E10" s="1"/>
      <c r="F10" s="1"/>
      <c r="G10" s="1"/>
      <c r="H10" s="1"/>
      <c r="I10" s="1"/>
      <c r="J10" s="1"/>
      <c r="K10" s="1"/>
      <c r="L10" s="1"/>
      <c r="M10" s="1"/>
      <c r="N10" s="1"/>
      <c r="O10" s="1"/>
      <c r="P10" s="7"/>
      <c r="Q10" s="1"/>
    </row>
    <row r="11" spans="1:17" x14ac:dyDescent="0.35">
      <c r="A11" s="1"/>
      <c r="B11" s="5"/>
      <c r="C11" s="1"/>
      <c r="D11" s="1"/>
      <c r="E11" s="1"/>
      <c r="F11" s="1"/>
      <c r="G11" s="1"/>
      <c r="H11" s="1"/>
      <c r="I11" s="1"/>
      <c r="J11" s="1"/>
      <c r="K11" s="1"/>
      <c r="L11" s="1"/>
      <c r="M11" s="1"/>
      <c r="N11" s="1"/>
      <c r="O11" s="1"/>
      <c r="P11" s="7"/>
      <c r="Q11" s="1"/>
    </row>
    <row r="12" spans="1:17" x14ac:dyDescent="0.35">
      <c r="A12" s="1"/>
      <c r="B12" s="5"/>
      <c r="C12" s="1"/>
      <c r="D12" s="1"/>
      <c r="E12" s="1"/>
      <c r="F12" s="1"/>
      <c r="G12" s="1"/>
      <c r="H12" s="1"/>
      <c r="I12" s="1"/>
      <c r="J12" s="1"/>
      <c r="K12" s="1"/>
      <c r="L12" s="1"/>
      <c r="M12" s="1"/>
      <c r="N12" s="1"/>
      <c r="O12" s="1"/>
      <c r="P12" s="7"/>
      <c r="Q12" s="1"/>
    </row>
    <row r="13" spans="1:17" x14ac:dyDescent="0.35">
      <c r="A13" s="1"/>
      <c r="B13" s="5"/>
      <c r="C13" s="1"/>
      <c r="D13" s="1"/>
      <c r="E13" s="1"/>
      <c r="F13" s="1"/>
      <c r="G13" s="1"/>
      <c r="H13" s="1"/>
      <c r="I13" s="1"/>
      <c r="J13" s="1"/>
      <c r="K13" s="1"/>
      <c r="L13" s="1"/>
      <c r="M13" s="1"/>
      <c r="N13" s="1"/>
      <c r="O13" s="1"/>
      <c r="P13" s="7"/>
      <c r="Q13" s="1"/>
    </row>
    <row r="14" spans="1:17" x14ac:dyDescent="0.35">
      <c r="A14" s="1"/>
      <c r="B14" s="5"/>
      <c r="C14" s="1"/>
      <c r="D14" s="1"/>
      <c r="E14" s="1"/>
      <c r="F14" s="1"/>
      <c r="G14" s="1"/>
      <c r="H14" s="1"/>
      <c r="I14" s="1"/>
      <c r="J14" s="1"/>
      <c r="K14" s="1"/>
      <c r="L14" s="1"/>
      <c r="M14" s="1"/>
      <c r="N14" s="1"/>
      <c r="O14" s="1"/>
      <c r="P14" s="7"/>
      <c r="Q14" s="1"/>
    </row>
    <row r="15" spans="1:17" x14ac:dyDescent="0.35">
      <c r="A15" s="1"/>
      <c r="B15" s="5"/>
      <c r="C15" s="1"/>
      <c r="D15" s="1"/>
      <c r="E15" s="1"/>
      <c r="F15" s="1"/>
      <c r="G15" s="1"/>
      <c r="H15" s="1"/>
      <c r="I15" s="1"/>
      <c r="J15" s="1"/>
      <c r="K15" s="1"/>
      <c r="L15" s="1"/>
      <c r="M15" s="1"/>
      <c r="N15" s="1"/>
      <c r="O15" s="1"/>
      <c r="P15" s="7"/>
      <c r="Q15" s="1"/>
    </row>
    <row r="16" spans="1:17" x14ac:dyDescent="0.35">
      <c r="A16" s="1"/>
      <c r="B16" s="5"/>
      <c r="C16" s="1"/>
      <c r="D16" s="1"/>
      <c r="E16" s="1"/>
      <c r="F16" s="1"/>
      <c r="G16" s="1"/>
      <c r="H16" s="1"/>
      <c r="I16" s="1"/>
      <c r="J16" s="1"/>
      <c r="K16" s="1"/>
      <c r="L16" s="1"/>
      <c r="M16" s="1"/>
      <c r="N16" s="1"/>
      <c r="O16" s="1"/>
      <c r="P16" s="7"/>
      <c r="Q16" s="1"/>
    </row>
    <row r="17" spans="1:17" x14ac:dyDescent="0.35">
      <c r="A17" s="1"/>
      <c r="B17" s="5"/>
      <c r="C17" s="1"/>
      <c r="D17" s="1"/>
      <c r="E17" s="1"/>
      <c r="F17" s="1"/>
      <c r="G17" s="1"/>
      <c r="H17" s="1"/>
      <c r="I17" s="1"/>
      <c r="J17" s="1"/>
      <c r="K17" s="1"/>
      <c r="L17" s="1"/>
      <c r="M17" s="1"/>
      <c r="N17" s="1"/>
      <c r="O17" s="1"/>
      <c r="P17" s="7"/>
      <c r="Q17" s="1"/>
    </row>
    <row r="18" spans="1:17" ht="23" x14ac:dyDescent="0.35">
      <c r="A18" s="1"/>
      <c r="B18" s="5"/>
      <c r="C18" s="300" t="s">
        <v>152</v>
      </c>
      <c r="D18" s="301"/>
      <c r="E18" s="301"/>
      <c r="F18" s="301"/>
      <c r="G18" s="301"/>
      <c r="H18" s="301"/>
      <c r="I18" s="301"/>
      <c r="J18" s="301"/>
      <c r="K18" s="301"/>
      <c r="L18" s="301"/>
      <c r="M18" s="302"/>
      <c r="N18" s="12"/>
      <c r="O18" s="12"/>
      <c r="P18" s="7"/>
      <c r="Q18" s="1"/>
    </row>
    <row r="19" spans="1:17" ht="16" thickBot="1" x14ac:dyDescent="0.4">
      <c r="A19" s="1"/>
      <c r="B19" s="5"/>
      <c r="C19" s="13"/>
      <c r="D19" s="13"/>
      <c r="E19" s="13"/>
      <c r="F19" s="13"/>
      <c r="G19" s="13"/>
      <c r="H19" s="13"/>
      <c r="I19" s="13"/>
      <c r="J19" s="13"/>
      <c r="K19" s="13"/>
      <c r="L19" s="13"/>
      <c r="M19" s="13"/>
      <c r="N19" s="14"/>
      <c r="O19" s="14"/>
      <c r="P19" s="7"/>
      <c r="Q19" s="1"/>
    </row>
    <row r="20" spans="1:17" ht="150" customHeight="1" x14ac:dyDescent="0.35">
      <c r="A20" s="1"/>
      <c r="B20" s="5"/>
      <c r="C20" s="303" t="s">
        <v>153</v>
      </c>
      <c r="D20" s="304"/>
      <c r="E20" s="135" t="s">
        <v>52</v>
      </c>
      <c r="F20" s="305" t="s">
        <v>241</v>
      </c>
      <c r="G20" s="306"/>
      <c r="H20" s="306"/>
      <c r="I20" s="306"/>
      <c r="J20" s="306"/>
      <c r="K20" s="306"/>
      <c r="L20" s="306"/>
      <c r="M20" s="307"/>
      <c r="N20" s="14"/>
      <c r="O20" s="14"/>
      <c r="P20" s="7"/>
      <c r="Q20" s="1"/>
    </row>
    <row r="21" spans="1:17" ht="126.75" customHeight="1" x14ac:dyDescent="0.35">
      <c r="A21" s="1"/>
      <c r="B21" s="5"/>
      <c r="C21" s="287" t="s">
        <v>154</v>
      </c>
      <c r="D21" s="288"/>
      <c r="E21" s="136" t="s">
        <v>40</v>
      </c>
      <c r="F21" s="308" t="s">
        <v>236</v>
      </c>
      <c r="G21" s="309"/>
      <c r="H21" s="309"/>
      <c r="I21" s="309"/>
      <c r="J21" s="309"/>
      <c r="K21" s="309"/>
      <c r="L21" s="309"/>
      <c r="M21" s="310"/>
      <c r="N21" s="14"/>
      <c r="O21" s="14"/>
      <c r="P21" s="7"/>
      <c r="Q21" s="1"/>
    </row>
    <row r="22" spans="1:17" ht="151.5" customHeight="1" thickBot="1" x14ac:dyDescent="0.4">
      <c r="A22" s="1"/>
      <c r="B22" s="5"/>
      <c r="C22" s="289" t="s">
        <v>155</v>
      </c>
      <c r="D22" s="290"/>
      <c r="E22" s="137" t="s">
        <v>36</v>
      </c>
      <c r="F22" s="311" t="s">
        <v>237</v>
      </c>
      <c r="G22" s="312"/>
      <c r="H22" s="312"/>
      <c r="I22" s="312"/>
      <c r="J22" s="312"/>
      <c r="K22" s="312"/>
      <c r="L22" s="312"/>
      <c r="M22" s="313"/>
      <c r="N22" s="14"/>
      <c r="O22" s="14"/>
      <c r="P22" s="7"/>
      <c r="Q22" s="1"/>
    </row>
    <row r="23" spans="1:17" x14ac:dyDescent="0.35">
      <c r="A23" s="1"/>
      <c r="B23" s="5"/>
      <c r="C23" s="1"/>
      <c r="D23" s="1"/>
      <c r="E23" s="1"/>
      <c r="F23" s="1"/>
      <c r="G23" s="15"/>
      <c r="H23" s="1"/>
      <c r="I23" s="1"/>
      <c r="J23" s="1"/>
      <c r="K23" s="1"/>
      <c r="L23" s="1"/>
      <c r="M23" s="1"/>
      <c r="N23" s="1"/>
      <c r="O23" s="1"/>
      <c r="P23" s="7"/>
      <c r="Q23" s="1"/>
    </row>
    <row r="24" spans="1:17" ht="75" x14ac:dyDescent="0.35">
      <c r="A24" s="1"/>
      <c r="B24" s="5"/>
      <c r="C24" s="90" t="s">
        <v>156</v>
      </c>
      <c r="D24" s="91"/>
      <c r="E24" s="90" t="s">
        <v>157</v>
      </c>
      <c r="F24" s="91"/>
      <c r="G24" s="90" t="s">
        <v>158</v>
      </c>
      <c r="H24" s="91"/>
      <c r="I24" s="317" t="s">
        <v>159</v>
      </c>
      <c r="J24" s="317"/>
      <c r="K24" s="317"/>
      <c r="L24" s="317"/>
      <c r="M24" s="317"/>
      <c r="N24" s="30"/>
      <c r="O24" s="30"/>
      <c r="P24" s="7"/>
      <c r="Q24" s="16"/>
    </row>
    <row r="25" spans="1:17" ht="13.5" customHeight="1" thickBot="1" x14ac:dyDescent="0.4">
      <c r="A25" s="1"/>
      <c r="B25" s="5"/>
      <c r="C25" s="29"/>
      <c r="I25" s="321"/>
      <c r="J25" s="321"/>
      <c r="K25" s="321"/>
      <c r="L25" s="321"/>
      <c r="M25" s="321"/>
      <c r="N25" s="31"/>
      <c r="O25" s="31"/>
      <c r="P25" s="7"/>
      <c r="Q25" s="1"/>
    </row>
    <row r="26" spans="1:17" ht="155.25" customHeight="1" x14ac:dyDescent="0.35">
      <c r="A26" s="1"/>
      <c r="B26" s="5"/>
      <c r="C26" s="81" t="s">
        <v>32</v>
      </c>
      <c r="D26" s="17"/>
      <c r="E26" s="133" t="str">
        <f>+IF(Hoja1!K2&gt;=0.5,"Si","No")</f>
        <v>Si</v>
      </c>
      <c r="F26" s="18"/>
      <c r="G26" s="134">
        <f>+Hoja1!K2</f>
        <v>0.79166666666666663</v>
      </c>
      <c r="H26" s="18"/>
      <c r="I26" s="318" t="s">
        <v>238</v>
      </c>
      <c r="J26" s="319"/>
      <c r="K26" s="319"/>
      <c r="L26" s="319"/>
      <c r="M26" s="320"/>
      <c r="N26" s="32"/>
      <c r="O26" s="33"/>
      <c r="P26" s="19"/>
      <c r="Q26" s="20"/>
    </row>
    <row r="27" spans="1:17" ht="26.5" thickBot="1" x14ac:dyDescent="0.65">
      <c r="A27" s="1"/>
      <c r="B27" s="5"/>
      <c r="C27" s="82"/>
      <c r="E27" s="89"/>
      <c r="G27" s="21"/>
      <c r="I27" s="322"/>
      <c r="J27" s="322"/>
      <c r="K27" s="322"/>
      <c r="L27" s="322"/>
      <c r="M27" s="322"/>
      <c r="N27" s="34"/>
      <c r="O27" s="34"/>
      <c r="P27" s="7"/>
      <c r="Q27" s="1"/>
    </row>
    <row r="28" spans="1:17" ht="111.75" customHeight="1" x14ac:dyDescent="0.35">
      <c r="A28" s="1"/>
      <c r="B28" s="5"/>
      <c r="C28" s="83" t="s">
        <v>160</v>
      </c>
      <c r="D28" s="17"/>
      <c r="E28" s="133" t="str">
        <f>+IF(Hoja1!K14&gt;=0.5,"Si","No")</f>
        <v>Si</v>
      </c>
      <c r="G28" s="134">
        <f>+Hoja1!K14</f>
        <v>0.9</v>
      </c>
      <c r="I28" s="314" t="s">
        <v>239</v>
      </c>
      <c r="J28" s="315"/>
      <c r="K28" s="315"/>
      <c r="L28" s="315"/>
      <c r="M28" s="316"/>
      <c r="N28" s="32"/>
      <c r="O28" s="32"/>
      <c r="P28" s="7"/>
      <c r="Q28" s="1"/>
    </row>
    <row r="29" spans="1:17" ht="26.5" thickBot="1" x14ac:dyDescent="0.65">
      <c r="A29" s="1"/>
      <c r="B29" s="5"/>
      <c r="C29" s="82"/>
      <c r="E29" s="89"/>
      <c r="G29" s="21"/>
      <c r="I29" s="322"/>
      <c r="J29" s="322"/>
      <c r="K29" s="322"/>
      <c r="L29" s="322"/>
      <c r="M29" s="322"/>
      <c r="N29" s="34"/>
      <c r="O29" s="34"/>
      <c r="P29" s="7"/>
      <c r="Q29" s="1"/>
    </row>
    <row r="30" spans="1:17" ht="123" customHeight="1" thickBot="1" x14ac:dyDescent="0.4">
      <c r="A30" s="1"/>
      <c r="B30" s="5"/>
      <c r="C30" s="84" t="s">
        <v>161</v>
      </c>
      <c r="D30" s="17"/>
      <c r="E30" s="133" t="str">
        <f>+IF(Hoja1!K24&gt;=0.5,"Si","No")</f>
        <v>Si</v>
      </c>
      <c r="G30" s="134">
        <f>+Hoja1!K24</f>
        <v>0.8</v>
      </c>
      <c r="I30" s="314" t="s">
        <v>162</v>
      </c>
      <c r="J30" s="315"/>
      <c r="K30" s="315"/>
      <c r="L30" s="315"/>
      <c r="M30" s="316"/>
      <c r="N30" s="32"/>
      <c r="O30" s="32"/>
      <c r="P30" s="7"/>
      <c r="Q30" s="1"/>
    </row>
    <row r="31" spans="1:17" ht="26.5" thickBot="1" x14ac:dyDescent="0.65">
      <c r="A31" s="1"/>
      <c r="B31" s="5"/>
      <c r="C31" s="82"/>
      <c r="E31" s="89"/>
      <c r="G31" s="21"/>
      <c r="I31" s="322"/>
      <c r="J31" s="322"/>
      <c r="K31" s="322"/>
      <c r="L31" s="322"/>
      <c r="M31" s="322"/>
      <c r="N31" s="34"/>
      <c r="O31" s="34"/>
      <c r="P31" s="7"/>
      <c r="Q31" s="1"/>
    </row>
    <row r="32" spans="1:17" ht="171" customHeight="1" thickBot="1" x14ac:dyDescent="0.4">
      <c r="A32" s="1"/>
      <c r="B32" s="5"/>
      <c r="C32" s="85" t="s">
        <v>97</v>
      </c>
      <c r="D32" s="17"/>
      <c r="E32" s="133" t="str">
        <f>+IF(Hoja1!K29&gt;=0.5,"Si","No")</f>
        <v>Si</v>
      </c>
      <c r="G32" s="134">
        <f>+Hoja1!K29</f>
        <v>0.7142857142857143</v>
      </c>
      <c r="I32" s="314" t="s">
        <v>240</v>
      </c>
      <c r="J32" s="315"/>
      <c r="K32" s="315"/>
      <c r="L32" s="315"/>
      <c r="M32" s="316"/>
      <c r="N32" s="32"/>
      <c r="O32" s="32"/>
      <c r="P32" s="7"/>
      <c r="Q32" s="1"/>
    </row>
    <row r="33" spans="1:17" ht="26.5" thickBot="1" x14ac:dyDescent="0.65">
      <c r="A33" s="1"/>
      <c r="B33" s="5"/>
      <c r="C33" s="82"/>
      <c r="E33" s="89"/>
      <c r="G33" s="21"/>
      <c r="I33" s="322"/>
      <c r="J33" s="322"/>
      <c r="K33" s="322"/>
      <c r="L33" s="322"/>
      <c r="M33" s="322"/>
      <c r="N33" s="34"/>
      <c r="O33" s="34"/>
      <c r="P33" s="7"/>
      <c r="Q33" s="1"/>
    </row>
    <row r="34" spans="1:17" ht="164.25" customHeight="1" thickBot="1" x14ac:dyDescent="0.4">
      <c r="A34" s="1"/>
      <c r="B34" s="5"/>
      <c r="C34" s="86" t="s">
        <v>163</v>
      </c>
      <c r="D34" s="17"/>
      <c r="E34" s="88" t="str">
        <f>+IF(Hoja1!K36&gt;=0.5,"Si","No")</f>
        <v>Si</v>
      </c>
      <c r="G34" s="134">
        <f>+Hoja1!K36</f>
        <v>0.75</v>
      </c>
      <c r="I34" s="314" t="s">
        <v>243</v>
      </c>
      <c r="J34" s="315"/>
      <c r="K34" s="315"/>
      <c r="L34" s="315"/>
      <c r="M34" s="316"/>
      <c r="N34" s="32"/>
      <c r="O34" s="32"/>
      <c r="P34" s="7"/>
      <c r="Q34" s="1"/>
    </row>
    <row r="35" spans="1:17" ht="15.5" x14ac:dyDescent="0.35">
      <c r="A35" s="1"/>
      <c r="B35" s="5"/>
      <c r="C35" s="22"/>
      <c r="D35" s="22"/>
      <c r="E35" s="14"/>
      <c r="F35" s="1"/>
      <c r="G35" s="1"/>
      <c r="H35" s="1"/>
      <c r="I35" s="1"/>
      <c r="J35" s="1"/>
      <c r="K35" s="1"/>
      <c r="L35" s="1"/>
      <c r="M35" s="23"/>
      <c r="N35" s="23"/>
      <c r="O35" s="23"/>
      <c r="P35" s="7"/>
      <c r="Q35" s="1"/>
    </row>
    <row r="36" spans="1:17" ht="15.5" x14ac:dyDescent="0.35">
      <c r="A36" s="1"/>
      <c r="B36" s="5"/>
      <c r="C36" s="24"/>
      <c r="D36" s="22"/>
      <c r="E36" s="14"/>
      <c r="F36" s="1"/>
      <c r="G36" s="1"/>
      <c r="H36" s="1"/>
      <c r="I36" s="1"/>
      <c r="J36" s="1"/>
      <c r="K36" s="1"/>
      <c r="L36" s="1"/>
      <c r="M36" s="23"/>
      <c r="N36" s="23"/>
      <c r="O36" s="23"/>
      <c r="P36" s="7"/>
      <c r="Q36" s="1"/>
    </row>
    <row r="37" spans="1:17" x14ac:dyDescent="0.35">
      <c r="A37" s="1"/>
      <c r="B37" s="5"/>
      <c r="C37" s="25"/>
      <c r="D37" s="1"/>
      <c r="E37" s="1"/>
      <c r="F37" s="1"/>
      <c r="G37" s="1"/>
      <c r="H37" s="1"/>
      <c r="I37" s="1"/>
      <c r="J37" s="1"/>
      <c r="K37" s="1"/>
      <c r="L37" s="1"/>
      <c r="M37" s="1"/>
      <c r="N37" s="1"/>
      <c r="O37" s="1"/>
      <c r="P37" s="7"/>
      <c r="Q37" s="1"/>
    </row>
    <row r="38" spans="1:17" ht="15" thickBot="1" x14ac:dyDescent="0.4">
      <c r="A38" s="1"/>
      <c r="B38" s="26"/>
      <c r="C38" s="27"/>
      <c r="D38" s="27"/>
      <c r="E38" s="27"/>
      <c r="F38" s="27"/>
      <c r="G38" s="27"/>
      <c r="H38" s="27"/>
      <c r="I38" s="27"/>
      <c r="J38" s="27"/>
      <c r="K38" s="27"/>
      <c r="L38" s="27"/>
      <c r="M38" s="27"/>
      <c r="N38" s="27"/>
      <c r="O38" s="27"/>
      <c r="P38" s="28"/>
      <c r="Q38" s="1"/>
    </row>
    <row r="39" spans="1:17" ht="15" thickTop="1" x14ac:dyDescent="0.35">
      <c r="A39" s="1"/>
      <c r="B39" s="1"/>
      <c r="C39" s="1"/>
      <c r="D39" s="1"/>
      <c r="E39" s="1"/>
      <c r="F39" s="1"/>
      <c r="G39" s="1"/>
      <c r="H39" s="1"/>
      <c r="I39" s="1"/>
      <c r="J39" s="1"/>
      <c r="K39" s="1"/>
      <c r="L39" s="1"/>
      <c r="M39" s="1"/>
      <c r="N39" s="1"/>
      <c r="O39" s="1"/>
      <c r="P39" s="1"/>
      <c r="Q39" s="1"/>
    </row>
    <row r="40" spans="1:17" x14ac:dyDescent="0.35">
      <c r="A40" s="1"/>
      <c r="B40" s="1"/>
      <c r="C40" s="1"/>
      <c r="D40" s="1"/>
      <c r="E40" s="1"/>
      <c r="F40" s="1"/>
      <c r="G40" s="1"/>
      <c r="H40" s="1"/>
      <c r="I40" s="1"/>
      <c r="J40" s="1"/>
      <c r="K40" s="1"/>
      <c r="L40" s="1"/>
      <c r="M40" s="1"/>
      <c r="N40" s="1"/>
      <c r="O40" s="1"/>
      <c r="P40" s="1"/>
      <c r="Q40" s="1"/>
    </row>
    <row r="41" spans="1:17" x14ac:dyDescent="0.3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'/Users/cmejia/Library/Containers/com.microsoft.Excel/Data/Documents/C:\Users\dell\Desktop\cesar\HISTORICOS\[2020-04-22_Formato_informe_sci_parametrizado_final.xlsx]Analisis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53125" defaultRowHeight="14.5" x14ac:dyDescent="0.35"/>
  <cols>
    <col min="2" max="2" width="31" bestFit="1" customWidth="1"/>
    <col min="3" max="3" width="17.1796875" customWidth="1"/>
    <col min="5" max="5" width="15.1796875" customWidth="1"/>
    <col min="10" max="10" width="15.7265625" customWidth="1"/>
    <col min="11" max="11" width="12" bestFit="1" customWidth="1"/>
  </cols>
  <sheetData>
    <row r="1" spans="1:11" ht="84.75" customHeight="1" x14ac:dyDescent="0.35">
      <c r="A1" s="138" t="s">
        <v>25</v>
      </c>
      <c r="B1" s="138" t="s">
        <v>6</v>
      </c>
      <c r="C1" s="139" t="s">
        <v>8</v>
      </c>
      <c r="D1" s="140" t="s">
        <v>26</v>
      </c>
      <c r="E1" s="140" t="s">
        <v>27</v>
      </c>
      <c r="F1" s="140" t="s">
        <v>164</v>
      </c>
      <c r="G1" s="141" t="s">
        <v>165</v>
      </c>
      <c r="H1" s="141" t="s">
        <v>166</v>
      </c>
      <c r="I1" s="141" t="s">
        <v>143</v>
      </c>
      <c r="J1" s="141" t="s">
        <v>167</v>
      </c>
      <c r="K1" s="141" t="s">
        <v>168</v>
      </c>
    </row>
    <row r="2" spans="1:11" x14ac:dyDescent="0.35">
      <c r="A2" s="142" t="s">
        <v>169</v>
      </c>
      <c r="B2" s="142" t="str">
        <f>+VLOOKUP(A2,'Estado SCI'!$A$16:$C$59,3,0)</f>
        <v>AMBIENTE DE CONTROL</v>
      </c>
      <c r="C2" s="142" t="s">
        <v>33</v>
      </c>
      <c r="D2" s="142" t="s">
        <v>34</v>
      </c>
      <c r="E2" s="142" t="s">
        <v>35</v>
      </c>
      <c r="F2" s="142" t="str">
        <f>+VLOOKUP(A2,'Estado SCI'!$A$16:$I$59,9,0)</f>
        <v>Deficiencia de control</v>
      </c>
      <c r="G2" s="142">
        <f>+VLOOKUP(A2,'Estado SCI'!$A$16:$L$59,12,0)</f>
        <v>0.123</v>
      </c>
      <c r="H2" s="142">
        <f t="shared" ref="H2:H45" si="0">+_xlfn.RANK.EQ(G2,$G$2:$G$45,1)</f>
        <v>1</v>
      </c>
      <c r="I2" s="142" t="str">
        <f>+IF(VLOOKUP(A2,'Estado SCI'!$A$16:$G$59,7,0)="","",VLOOKUP(A2,'Estado SCI'!$A$16:$G$59,7,0))</f>
        <v>No</v>
      </c>
      <c r="J2" s="143">
        <f>+IF(I2="Si",1,IF(I2="En proceso",0.5,0))</f>
        <v>0</v>
      </c>
      <c r="K2" s="144">
        <f t="shared" ref="K2:K45" si="1">+AVERAGEIF($B$2:$B$45,B2,$J$2:$J$45)</f>
        <v>0.79166666666666663</v>
      </c>
    </row>
    <row r="3" spans="1:11" x14ac:dyDescent="0.35">
      <c r="A3" s="142" t="s">
        <v>170</v>
      </c>
      <c r="B3" s="142" t="s">
        <v>32</v>
      </c>
      <c r="C3" s="142" t="s">
        <v>33</v>
      </c>
      <c r="D3" s="142" t="s">
        <v>38</v>
      </c>
      <c r="E3" s="142" t="s">
        <v>39</v>
      </c>
      <c r="F3" s="142" t="str">
        <f>+VLOOKUP(A3,'Estado SCI'!$A$16:$I$59,9,0)</f>
        <v>Mantenimiento del control</v>
      </c>
      <c r="G3" s="142">
        <f>+VLOOKUP(A3,'Estado SCI'!$A$16:$L$59,12,0)</f>
        <v>20.1234</v>
      </c>
      <c r="H3" s="142">
        <f t="shared" si="0"/>
        <v>4</v>
      </c>
      <c r="I3" s="142" t="str">
        <f>+IF(VLOOKUP(A3,'Estado SCI'!$A$16:$G$59,7,0)="","",VLOOKUP(A3,'Estado SCI'!$A$16:$G$59,7,0))</f>
        <v>Si</v>
      </c>
      <c r="J3" s="143">
        <f t="shared" ref="J3:J45" si="2">+IF(I3="Si",1,IF(I3="En proceso",0.5,0))</f>
        <v>1</v>
      </c>
      <c r="K3" s="144">
        <f t="shared" si="1"/>
        <v>0.79166666666666663</v>
      </c>
    </row>
    <row r="4" spans="1:11" x14ac:dyDescent="0.35">
      <c r="A4" s="142" t="s">
        <v>171</v>
      </c>
      <c r="B4" s="142" t="s">
        <v>32</v>
      </c>
      <c r="C4" s="142" t="s">
        <v>33</v>
      </c>
      <c r="D4" s="142" t="s">
        <v>42</v>
      </c>
      <c r="E4" s="142" t="s">
        <v>43</v>
      </c>
      <c r="F4" s="142" t="str">
        <f>+VLOOKUP(A4,'Estado SCI'!$A$16:$I$59,9,0)</f>
        <v>Mantenimiento del control</v>
      </c>
      <c r="G4" s="142">
        <f>+VLOOKUP(A4,'Estado SCI'!$A$16:$L$59,12,0)</f>
        <v>20.123449999999998</v>
      </c>
      <c r="H4" s="142">
        <f t="shared" si="0"/>
        <v>5</v>
      </c>
      <c r="I4" s="142" t="str">
        <f>+IF(VLOOKUP(A4,'Estado SCI'!$A$16:$G$59,7,0)="","",VLOOKUP(A4,'Estado SCI'!$A$16:$G$59,7,0))</f>
        <v>Si</v>
      </c>
      <c r="J4" s="143">
        <f t="shared" si="2"/>
        <v>1</v>
      </c>
      <c r="K4" s="144">
        <f t="shared" si="1"/>
        <v>0.79166666666666663</v>
      </c>
    </row>
    <row r="5" spans="1:11" x14ac:dyDescent="0.35">
      <c r="A5" s="142" t="s">
        <v>172</v>
      </c>
      <c r="B5" s="142" t="s">
        <v>32</v>
      </c>
      <c r="C5" s="142" t="s">
        <v>33</v>
      </c>
      <c r="D5" s="142" t="s">
        <v>44</v>
      </c>
      <c r="E5" s="142" t="s">
        <v>45</v>
      </c>
      <c r="F5" s="142" t="str">
        <f>+VLOOKUP(A5,'Estado SCI'!$A$16:$I$59,9,0)</f>
        <v>Mantenimiento del control</v>
      </c>
      <c r="G5" s="142">
        <f>+VLOOKUP(A5,'Estado SCI'!$A$16:$L$59,12,0)</f>
        <v>20.123456000000001</v>
      </c>
      <c r="H5" s="142">
        <f t="shared" si="0"/>
        <v>6</v>
      </c>
      <c r="I5" s="142" t="str">
        <f>+IF(VLOOKUP(A5,'Estado SCI'!$A$16:$G$59,7,0)="","",VLOOKUP(A5,'Estado SCI'!$A$16:$G$59,7,0))</f>
        <v>Si</v>
      </c>
      <c r="J5" s="143">
        <f t="shared" si="2"/>
        <v>1</v>
      </c>
      <c r="K5" s="144">
        <f t="shared" si="1"/>
        <v>0.79166666666666663</v>
      </c>
    </row>
    <row r="6" spans="1:11" x14ac:dyDescent="0.35">
      <c r="A6" s="142" t="s">
        <v>173</v>
      </c>
      <c r="B6" s="142" t="s">
        <v>32</v>
      </c>
      <c r="C6" s="142" t="s">
        <v>33</v>
      </c>
      <c r="D6" s="142" t="s">
        <v>47</v>
      </c>
      <c r="E6" s="142" t="s">
        <v>48</v>
      </c>
      <c r="F6" s="142" t="str">
        <f>+VLOOKUP(A6,'Estado SCI'!$A$16:$I$59,9,0)</f>
        <v>Mantenimiento del control</v>
      </c>
      <c r="G6" s="142">
        <f>+VLOOKUP(A6,'Estado SCI'!$A$16:$L$59,12,0)</f>
        <v>20.123456780000001</v>
      </c>
      <c r="H6" s="142">
        <f t="shared" si="0"/>
        <v>7</v>
      </c>
      <c r="I6" s="142" t="str">
        <f>+IF(VLOOKUP(A6,'Estado SCI'!$A$16:$G$59,7,0)="","",VLOOKUP(A6,'Estado SCI'!$A$16:$G$59,7,0))</f>
        <v>Si</v>
      </c>
      <c r="J6" s="143">
        <f t="shared" si="2"/>
        <v>1</v>
      </c>
      <c r="K6" s="144">
        <f t="shared" si="1"/>
        <v>0.79166666666666663</v>
      </c>
    </row>
    <row r="7" spans="1:11" x14ac:dyDescent="0.35">
      <c r="A7" s="142" t="s">
        <v>174</v>
      </c>
      <c r="B7" s="142" t="s">
        <v>32</v>
      </c>
      <c r="C7" s="142" t="s">
        <v>33</v>
      </c>
      <c r="D7" s="142" t="s">
        <v>50</v>
      </c>
      <c r="E7" s="142" t="s">
        <v>51</v>
      </c>
      <c r="F7" s="142" t="str">
        <f>+VLOOKUP(A7,'Estado SCI'!$A$16:$I$59,9,0)</f>
        <v>Mantenimiento del control</v>
      </c>
      <c r="G7" s="142">
        <f>+VLOOKUP(A7,'Estado SCI'!$A$16:$L$59,12,0)</f>
        <v>20.123456788999999</v>
      </c>
      <c r="H7" s="142">
        <f t="shared" si="0"/>
        <v>8</v>
      </c>
      <c r="I7" s="142" t="str">
        <f>+IF(VLOOKUP(A7,'Estado SCI'!$A$16:$G$59,7,0)="","",VLOOKUP(A7,'Estado SCI'!$A$16:$G$59,7,0))</f>
        <v>Si</v>
      </c>
      <c r="J7" s="143">
        <f t="shared" si="2"/>
        <v>1</v>
      </c>
      <c r="K7" s="144">
        <f t="shared" si="1"/>
        <v>0.79166666666666663</v>
      </c>
    </row>
    <row r="8" spans="1:11" x14ac:dyDescent="0.35">
      <c r="A8" s="142" t="s">
        <v>175</v>
      </c>
      <c r="B8" s="142" t="s">
        <v>32</v>
      </c>
      <c r="C8" s="142" t="s">
        <v>33</v>
      </c>
      <c r="D8" s="142" t="s">
        <v>53</v>
      </c>
      <c r="E8" s="142" t="s">
        <v>54</v>
      </c>
      <c r="F8" s="142" t="str">
        <f>+VLOOKUP(A8,'Estado SCI'!$A$16:$I$59,9,0)</f>
        <v>Mantenimiento del control</v>
      </c>
      <c r="G8" s="142">
        <f>+VLOOKUP(A8,'Estado SCI'!$A$16:$L$59,12,0)</f>
        <v>20.1234567891</v>
      </c>
      <c r="H8" s="142">
        <f t="shared" si="0"/>
        <v>9</v>
      </c>
      <c r="I8" s="142" t="str">
        <f>+IF(VLOOKUP(A8,'Estado SCI'!$A$16:$G$59,7,0)="","",VLOOKUP(A8,'Estado SCI'!$A$16:$G$59,7,0))</f>
        <v>Si</v>
      </c>
      <c r="J8" s="143">
        <f t="shared" si="2"/>
        <v>1</v>
      </c>
      <c r="K8" s="144">
        <f t="shared" si="1"/>
        <v>0.79166666666666663</v>
      </c>
    </row>
    <row r="9" spans="1:11" x14ac:dyDescent="0.35">
      <c r="A9" s="142" t="s">
        <v>176</v>
      </c>
      <c r="B9" s="142" t="s">
        <v>32</v>
      </c>
      <c r="C9" s="142" t="s">
        <v>33</v>
      </c>
      <c r="D9" s="142" t="s">
        <v>55</v>
      </c>
      <c r="E9" s="142" t="s">
        <v>56</v>
      </c>
      <c r="F9" s="142" t="str">
        <f>+VLOOKUP(A9,'Estado SCI'!$A$16:$I$59,9,0)</f>
        <v>Oportunidad de mejora</v>
      </c>
      <c r="G9" s="142">
        <f>+VLOOKUP(A9,'Estado SCI'!$A$16:$L$59,12,0)</f>
        <v>10.12345678912</v>
      </c>
      <c r="H9" s="142">
        <f t="shared" si="0"/>
        <v>3</v>
      </c>
      <c r="I9" s="142" t="str">
        <f>+IF(VLOOKUP(A9,'Estado SCI'!$A$16:$G$59,7,0)="","",VLOOKUP(A9,'Estado SCI'!$A$16:$G$59,7,0))</f>
        <v>En proceso</v>
      </c>
      <c r="J9" s="143">
        <f t="shared" si="2"/>
        <v>0.5</v>
      </c>
      <c r="K9" s="144">
        <f t="shared" si="1"/>
        <v>0.79166666666666663</v>
      </c>
    </row>
    <row r="10" spans="1:11" x14ac:dyDescent="0.35">
      <c r="A10" s="142" t="s">
        <v>177</v>
      </c>
      <c r="B10" s="142" t="s">
        <v>32</v>
      </c>
      <c r="C10" s="142" t="s">
        <v>33</v>
      </c>
      <c r="D10" s="142" t="s">
        <v>57</v>
      </c>
      <c r="E10" s="142" t="s">
        <v>58</v>
      </c>
      <c r="F10" s="142" t="str">
        <f>+VLOOKUP(A10,'Estado SCI'!$A$16:$I$59,9,0)</f>
        <v>Mantenimiento del control</v>
      </c>
      <c r="G10" s="142">
        <f>+VLOOKUP(A10,'Estado SCI'!$A$16:$L$59,12,0)</f>
        <v>20.123456789123001</v>
      </c>
      <c r="H10" s="142">
        <f t="shared" si="0"/>
        <v>10</v>
      </c>
      <c r="I10" s="142" t="str">
        <f>+IF(VLOOKUP(A10,'Estado SCI'!$A$16:$G$59,7,0)="","",VLOOKUP(A10,'Estado SCI'!$A$16:$G$59,7,0))</f>
        <v>Si</v>
      </c>
      <c r="J10" s="143">
        <f t="shared" si="2"/>
        <v>1</v>
      </c>
      <c r="K10" s="144">
        <f t="shared" si="1"/>
        <v>0.79166666666666663</v>
      </c>
    </row>
    <row r="11" spans="1:11" x14ac:dyDescent="0.35">
      <c r="A11" s="142" t="s">
        <v>178</v>
      </c>
      <c r="B11" s="142" t="s">
        <v>32</v>
      </c>
      <c r="C11" s="142" t="s">
        <v>33</v>
      </c>
      <c r="D11" s="142" t="s">
        <v>59</v>
      </c>
      <c r="E11" s="142" t="s">
        <v>60</v>
      </c>
      <c r="F11" s="142" t="str">
        <f>+VLOOKUP(A11,'Estado SCI'!$A$16:$I$59,9,0)</f>
        <v>Deficiencia de control</v>
      </c>
      <c r="G11" s="142">
        <f>+VLOOKUP(A11,'Estado SCI'!$A$16:$L$59,12,0)</f>
        <v>0.1234567891234</v>
      </c>
      <c r="H11" s="142">
        <f t="shared" si="0"/>
        <v>2</v>
      </c>
      <c r="I11" s="142" t="str">
        <f>+IF(VLOOKUP(A11,'Estado SCI'!$A$16:$G$59,7,0)="","",VLOOKUP(A11,'Estado SCI'!$A$16:$G$59,7,0))</f>
        <v>No</v>
      </c>
      <c r="J11" s="143">
        <f t="shared" si="2"/>
        <v>0</v>
      </c>
      <c r="K11" s="144">
        <f t="shared" si="1"/>
        <v>0.79166666666666663</v>
      </c>
    </row>
    <row r="12" spans="1:11" x14ac:dyDescent="0.35">
      <c r="A12" s="142" t="s">
        <v>179</v>
      </c>
      <c r="B12" s="142" t="s">
        <v>32</v>
      </c>
      <c r="C12" s="142" t="s">
        <v>33</v>
      </c>
      <c r="D12" s="142" t="s">
        <v>62</v>
      </c>
      <c r="E12" s="142" t="s">
        <v>63</v>
      </c>
      <c r="F12" s="142" t="str">
        <f>+VLOOKUP(A12,'Estado SCI'!$A$16:$I$59,9,0)</f>
        <v>Mantenimiento del control</v>
      </c>
      <c r="G12" s="142">
        <f>+VLOOKUP(A12,'Estado SCI'!$A$16:$L$59,12,0)</f>
        <v>20.123456789123448</v>
      </c>
      <c r="H12" s="142">
        <f t="shared" si="0"/>
        <v>11</v>
      </c>
      <c r="I12" s="142" t="str">
        <f>+IF(VLOOKUP(A12,'Estado SCI'!$A$16:$G$59,7,0)="","",VLOOKUP(A12,'Estado SCI'!$A$16:$G$59,7,0))</f>
        <v>Si</v>
      </c>
      <c r="J12" s="143">
        <f t="shared" si="2"/>
        <v>1</v>
      </c>
      <c r="K12" s="144">
        <f t="shared" si="1"/>
        <v>0.79166666666666663</v>
      </c>
    </row>
    <row r="13" spans="1:11" x14ac:dyDescent="0.35">
      <c r="A13" s="142" t="s">
        <v>180</v>
      </c>
      <c r="B13" s="142" t="s">
        <v>32</v>
      </c>
      <c r="C13" s="142" t="s">
        <v>33</v>
      </c>
      <c r="D13" s="142" t="s">
        <v>65</v>
      </c>
      <c r="E13" s="142" t="s">
        <v>66</v>
      </c>
      <c r="F13" s="142" t="str">
        <f>+VLOOKUP(A13,'Estado SCI'!$A$16:$I$59,9,0)</f>
        <v>Mantenimiento del control</v>
      </c>
      <c r="G13" s="142">
        <f>+VLOOKUP(A13,'Estado SCI'!$A$16:$L$59,12,0)</f>
        <v>20.123456789123455</v>
      </c>
      <c r="H13" s="142">
        <f t="shared" si="0"/>
        <v>12</v>
      </c>
      <c r="I13" s="142" t="str">
        <f>+IF(VLOOKUP(A13,'Estado SCI'!$A$16:$G$59,7,0)="","",VLOOKUP(A13,'Estado SCI'!$A$16:$G$59,7,0))</f>
        <v>Si</v>
      </c>
      <c r="J13" s="143">
        <f t="shared" si="2"/>
        <v>1</v>
      </c>
      <c r="K13" s="144">
        <f t="shared" si="1"/>
        <v>0.79166666666666663</v>
      </c>
    </row>
    <row r="14" spans="1:11" ht="15" customHeight="1" x14ac:dyDescent="0.35">
      <c r="A14" s="142" t="s">
        <v>181</v>
      </c>
      <c r="B14" s="142" t="str">
        <f>+VLOOKUP(A14,'Estado SCI'!$A$16:$C$59,3,0)</f>
        <v>EVALUACION DEL RIESGO</v>
      </c>
      <c r="C14" s="142" t="s">
        <v>70</v>
      </c>
      <c r="D14" s="142" t="s">
        <v>34</v>
      </c>
      <c r="E14" s="142" t="s">
        <v>182</v>
      </c>
      <c r="F14" s="142" t="str">
        <f>+VLOOKUP(A14,'Estado SCI'!$A$16:$I$59,9,0)</f>
        <v>Oportunidad de mejora</v>
      </c>
      <c r="G14" s="142">
        <f>+VLOOKUP(A14,'Estado SCI'!$A$16:$L$59,12,0)</f>
        <v>30.23</v>
      </c>
      <c r="H14" s="142">
        <f t="shared" si="0"/>
        <v>13</v>
      </c>
      <c r="I14" s="142" t="str">
        <f>+IF(VLOOKUP(A14,'Estado SCI'!$A$16:$G$59,7,0)="","",VLOOKUP(A14,'Estado SCI'!$A$16:$G$59,7,0))</f>
        <v>En proceso</v>
      </c>
      <c r="J14" s="143">
        <f t="shared" si="2"/>
        <v>0.5</v>
      </c>
      <c r="K14" s="144">
        <f t="shared" si="1"/>
        <v>0.9</v>
      </c>
    </row>
    <row r="15" spans="1:11" ht="15" customHeight="1" x14ac:dyDescent="0.35">
      <c r="A15" s="142" t="s">
        <v>183</v>
      </c>
      <c r="B15" s="142" t="s">
        <v>69</v>
      </c>
      <c r="C15" s="142" t="s">
        <v>70</v>
      </c>
      <c r="D15" s="142" t="s">
        <v>38</v>
      </c>
      <c r="E15" s="142" t="s">
        <v>184</v>
      </c>
      <c r="F15" s="142" t="str">
        <f>+VLOOKUP(A15,'Estado SCI'!$A$16:$I$59,9,0)</f>
        <v>Mantenimiento del control</v>
      </c>
      <c r="G15" s="142">
        <f>+VLOOKUP(A15,'Estado SCI'!$A$16:$L$59,12,0)</f>
        <v>40.234000000000002</v>
      </c>
      <c r="H15" s="142">
        <f t="shared" si="0"/>
        <v>15</v>
      </c>
      <c r="I15" s="142" t="str">
        <f>+IF(VLOOKUP(A15,'Estado SCI'!$A$16:$G$59,7,0)="","",VLOOKUP(A15,'Estado SCI'!$A$16:$G$59,7,0))</f>
        <v>Si</v>
      </c>
      <c r="J15" s="143">
        <f t="shared" si="2"/>
        <v>1</v>
      </c>
      <c r="K15" s="144">
        <f t="shared" si="1"/>
        <v>0.9</v>
      </c>
    </row>
    <row r="16" spans="1:11" ht="15" customHeight="1" x14ac:dyDescent="0.35">
      <c r="A16" s="142" t="s">
        <v>185</v>
      </c>
      <c r="B16" s="142" t="s">
        <v>69</v>
      </c>
      <c r="C16" s="142" t="s">
        <v>70</v>
      </c>
      <c r="D16" s="142" t="s">
        <v>42</v>
      </c>
      <c r="E16" s="142" t="s">
        <v>186</v>
      </c>
      <c r="F16" s="142" t="str">
        <f>+VLOOKUP(A16,'Estado SCI'!$A$16:$I$59,9,0)</f>
        <v>Mantenimiento del control</v>
      </c>
      <c r="G16" s="142">
        <f>+VLOOKUP(A16,'Estado SCI'!$A$16:$L$59,12,0)</f>
        <v>40.234499999999997</v>
      </c>
      <c r="H16" s="142">
        <f t="shared" si="0"/>
        <v>16</v>
      </c>
      <c r="I16" s="142" t="str">
        <f>+IF(VLOOKUP(A16,'Estado SCI'!$A$16:$G$59,7,0)="","",VLOOKUP(A16,'Estado SCI'!$A$16:$G$59,7,0))</f>
        <v>Si</v>
      </c>
      <c r="J16" s="143">
        <f t="shared" si="2"/>
        <v>1</v>
      </c>
      <c r="K16" s="144">
        <f t="shared" si="1"/>
        <v>0.9</v>
      </c>
    </row>
    <row r="17" spans="1:11" ht="15.75" customHeight="1" x14ac:dyDescent="0.35">
      <c r="A17" s="142" t="s">
        <v>187</v>
      </c>
      <c r="B17" s="142" t="s">
        <v>69</v>
      </c>
      <c r="C17" s="142" t="s">
        <v>70</v>
      </c>
      <c r="D17" s="142" t="s">
        <v>44</v>
      </c>
      <c r="E17" s="142" t="s">
        <v>74</v>
      </c>
      <c r="F17" s="142" t="str">
        <f>+VLOOKUP(A17,'Estado SCI'!$A$16:$I$59,9,0)</f>
        <v>Oportunidad de mejora</v>
      </c>
      <c r="G17" s="142">
        <f>+VLOOKUP(A17,'Estado SCI'!$A$16:$L$59,12,0)</f>
        <v>30.234559999999998</v>
      </c>
      <c r="H17" s="142">
        <f t="shared" si="0"/>
        <v>14</v>
      </c>
      <c r="I17" s="142" t="str">
        <f>+IF(VLOOKUP(A17,'Estado SCI'!$A$16:$G$59,7,0)="","",VLOOKUP(A17,'Estado SCI'!$A$16:$G$59,7,0))</f>
        <v>En proceso</v>
      </c>
      <c r="J17" s="143">
        <f t="shared" si="2"/>
        <v>0.5</v>
      </c>
      <c r="K17" s="144">
        <f t="shared" si="1"/>
        <v>0.9</v>
      </c>
    </row>
    <row r="18" spans="1:11" ht="15" customHeight="1" x14ac:dyDescent="0.35">
      <c r="A18" s="142" t="s">
        <v>188</v>
      </c>
      <c r="B18" s="142" t="s">
        <v>69</v>
      </c>
      <c r="C18" s="142" t="s">
        <v>89</v>
      </c>
      <c r="D18" s="142" t="s">
        <v>34</v>
      </c>
      <c r="E18" s="142" t="s">
        <v>77</v>
      </c>
      <c r="F18" s="142" t="str">
        <f>+VLOOKUP(A18,'Estado SCI'!$A$16:$I$59,9,0)</f>
        <v>Mantenimiento del control</v>
      </c>
      <c r="G18" s="142">
        <f>+VLOOKUP(A18,'Estado SCI'!$A$16:$L$59,12,0)</f>
        <v>40.234566999999998</v>
      </c>
      <c r="H18" s="142">
        <f t="shared" si="0"/>
        <v>17</v>
      </c>
      <c r="I18" s="142" t="str">
        <f>+IF(VLOOKUP(A18,'Estado SCI'!$A$16:$G$59,7,0)="","",VLOOKUP(A18,'Estado SCI'!$A$16:$G$59,7,0))</f>
        <v>Si</v>
      </c>
      <c r="J18" s="143">
        <f t="shared" si="2"/>
        <v>1</v>
      </c>
      <c r="K18" s="144">
        <f t="shared" si="1"/>
        <v>0.9</v>
      </c>
    </row>
    <row r="19" spans="1:11" ht="15" customHeight="1" x14ac:dyDescent="0.35">
      <c r="A19" s="142" t="s">
        <v>189</v>
      </c>
      <c r="B19" s="142" t="s">
        <v>69</v>
      </c>
      <c r="C19" s="142" t="s">
        <v>89</v>
      </c>
      <c r="D19" s="142" t="s">
        <v>38</v>
      </c>
      <c r="E19" s="142" t="s">
        <v>79</v>
      </c>
      <c r="F19" s="142" t="str">
        <f>+VLOOKUP(A19,'Estado SCI'!$A$16:$I$59,9,0)</f>
        <v>Mantenimiento del control</v>
      </c>
      <c r="G19" s="142">
        <f>+VLOOKUP(A19,'Estado SCI'!$A$16:$L$59,12,0)</f>
        <v>40.234567800000001</v>
      </c>
      <c r="H19" s="142">
        <f t="shared" si="0"/>
        <v>18</v>
      </c>
      <c r="I19" s="142" t="str">
        <f>+IF(VLOOKUP(A19,'Estado SCI'!$A$16:$G$59,7,0)="","",VLOOKUP(A19,'Estado SCI'!$A$16:$G$59,7,0))</f>
        <v>Si</v>
      </c>
      <c r="J19" s="143">
        <f t="shared" si="2"/>
        <v>1</v>
      </c>
      <c r="K19" s="144">
        <f t="shared" si="1"/>
        <v>0.9</v>
      </c>
    </row>
    <row r="20" spans="1:11" ht="15" customHeight="1" x14ac:dyDescent="0.35">
      <c r="A20" s="142" t="s">
        <v>190</v>
      </c>
      <c r="B20" s="142" t="s">
        <v>69</v>
      </c>
      <c r="C20" s="142" t="s">
        <v>89</v>
      </c>
      <c r="D20" s="142" t="s">
        <v>42</v>
      </c>
      <c r="E20" s="142" t="s">
        <v>80</v>
      </c>
      <c r="F20" s="142" t="str">
        <f>+VLOOKUP(A20,'Estado SCI'!$A$16:$I$59,9,0)</f>
        <v>Mantenimiento del control</v>
      </c>
      <c r="G20" s="142">
        <f>+VLOOKUP(A20,'Estado SCI'!$A$16:$L$59,12,0)</f>
        <v>40.234567890000001</v>
      </c>
      <c r="H20" s="142">
        <f t="shared" si="0"/>
        <v>19</v>
      </c>
      <c r="I20" s="142" t="str">
        <f>+IF(VLOOKUP(A20,'Estado SCI'!$A$16:$G$59,7,0)="","",VLOOKUP(A20,'Estado SCI'!$A$16:$G$59,7,0))</f>
        <v>Si</v>
      </c>
      <c r="J20" s="143">
        <f t="shared" si="2"/>
        <v>1</v>
      </c>
      <c r="K20" s="144">
        <f t="shared" si="1"/>
        <v>0.9</v>
      </c>
    </row>
    <row r="21" spans="1:11" ht="15.75" customHeight="1" x14ac:dyDescent="0.35">
      <c r="A21" s="142" t="s">
        <v>191</v>
      </c>
      <c r="B21" s="142" t="s">
        <v>69</v>
      </c>
      <c r="C21" s="142" t="s">
        <v>89</v>
      </c>
      <c r="D21" s="142" t="s">
        <v>34</v>
      </c>
      <c r="E21" s="142" t="s">
        <v>83</v>
      </c>
      <c r="F21" s="142" t="str">
        <f>+VLOOKUP(A21,'Estado SCI'!$A$16:$I$59,9,0)</f>
        <v>Mantenimiento del control</v>
      </c>
      <c r="G21" s="142">
        <f>+VLOOKUP(A21,'Estado SCI'!$A$16:$L$59,12,0)</f>
        <v>40.234567891200001</v>
      </c>
      <c r="H21" s="142">
        <f t="shared" si="0"/>
        <v>20</v>
      </c>
      <c r="I21" s="142" t="str">
        <f>+IF(VLOOKUP(A21,'Estado SCI'!$A$16:$G$59,7,0)="","",VLOOKUP(A21,'Estado SCI'!$A$16:$G$59,7,0))</f>
        <v>Si</v>
      </c>
      <c r="J21" s="143">
        <f t="shared" si="2"/>
        <v>1</v>
      </c>
      <c r="K21" s="144">
        <f t="shared" si="1"/>
        <v>0.9</v>
      </c>
    </row>
    <row r="22" spans="1:11" ht="15" customHeight="1" x14ac:dyDescent="0.35">
      <c r="A22" s="142" t="s">
        <v>192</v>
      </c>
      <c r="B22" s="142" t="s">
        <v>69</v>
      </c>
      <c r="C22" s="142" t="s">
        <v>98</v>
      </c>
      <c r="D22" s="142" t="s">
        <v>38</v>
      </c>
      <c r="E22" s="142" t="s">
        <v>84</v>
      </c>
      <c r="F22" s="142" t="str">
        <f>+VLOOKUP(A22,'Estado SCI'!$A$16:$I$59,9,0)</f>
        <v>Mantenimiento del control</v>
      </c>
      <c r="G22" s="142">
        <f>+VLOOKUP(A22,'Estado SCI'!$A$16:$L$59,12,0)</f>
        <v>40.23456789123</v>
      </c>
      <c r="H22" s="142">
        <f t="shared" si="0"/>
        <v>21</v>
      </c>
      <c r="I22" s="142" t="str">
        <f>+IF(VLOOKUP(A22,'Estado SCI'!$A$16:$G$59,7,0)="","",VLOOKUP(A22,'Estado SCI'!$A$16:$G$59,7,0))</f>
        <v>Si</v>
      </c>
      <c r="J22" s="143">
        <f t="shared" si="2"/>
        <v>1</v>
      </c>
      <c r="K22" s="144">
        <f t="shared" si="1"/>
        <v>0.9</v>
      </c>
    </row>
    <row r="23" spans="1:11" ht="15" customHeight="1" x14ac:dyDescent="0.35">
      <c r="A23" s="142" t="s">
        <v>193</v>
      </c>
      <c r="B23" s="142" t="s">
        <v>69</v>
      </c>
      <c r="C23" s="142" t="s">
        <v>98</v>
      </c>
      <c r="D23" s="142" t="s">
        <v>42</v>
      </c>
      <c r="E23" s="142" t="s">
        <v>86</v>
      </c>
      <c r="F23" s="142" t="str">
        <f>+VLOOKUP(A23,'Estado SCI'!$A$16:$I$59,9,0)</f>
        <v>Mantenimiento del control</v>
      </c>
      <c r="G23" s="142">
        <f>+VLOOKUP(A23,'Estado SCI'!$A$16:$L$59,12,0)</f>
        <v>40.234567891234001</v>
      </c>
      <c r="H23" s="142">
        <f t="shared" si="0"/>
        <v>22</v>
      </c>
      <c r="I23" s="142" t="str">
        <f>+IF(VLOOKUP(A23,'Estado SCI'!$A$16:$G$59,7,0)="","",VLOOKUP(A23,'Estado SCI'!$A$16:$G$59,7,0))</f>
        <v>Si</v>
      </c>
      <c r="J23" s="143">
        <f t="shared" si="2"/>
        <v>1</v>
      </c>
      <c r="K23" s="144">
        <f t="shared" si="1"/>
        <v>0.9</v>
      </c>
    </row>
    <row r="24" spans="1:11" ht="15" customHeight="1" x14ac:dyDescent="0.35">
      <c r="A24" s="142" t="s">
        <v>194</v>
      </c>
      <c r="B24" s="142" t="str">
        <f>+VLOOKUP(A24,'Estado SCI'!$A$16:$C$59,3,0)</f>
        <v>ACTIVIDADES DE CONTROL</v>
      </c>
      <c r="C24" s="142" t="s">
        <v>98</v>
      </c>
      <c r="D24" s="142" t="s">
        <v>34</v>
      </c>
      <c r="E24" s="142" t="s">
        <v>90</v>
      </c>
      <c r="F24" s="142" t="str">
        <f>+VLOOKUP(A24,'Estado SCI'!$A$16:$I$59,9,0)</f>
        <v>Mantenimiento del control</v>
      </c>
      <c r="G24" s="142">
        <f>+VLOOKUP(A24,'Estado SCI'!$A$16:$L$59,12,0)</f>
        <v>60.31</v>
      </c>
      <c r="H24" s="142">
        <f t="shared" si="0"/>
        <v>25</v>
      </c>
      <c r="I24" s="142" t="str">
        <f>+IF(VLOOKUP(A24,'Estado SCI'!$A$16:$G$59,7,0)="","",VLOOKUP(A24,'Estado SCI'!$A$16:$G$59,7,0))</f>
        <v>Si</v>
      </c>
      <c r="J24" s="143">
        <f t="shared" si="2"/>
        <v>1</v>
      </c>
      <c r="K24" s="144">
        <f t="shared" si="1"/>
        <v>0.8</v>
      </c>
    </row>
    <row r="25" spans="1:11" ht="15" customHeight="1" x14ac:dyDescent="0.35">
      <c r="A25" s="142" t="s">
        <v>195</v>
      </c>
      <c r="B25" s="142" t="s">
        <v>88</v>
      </c>
      <c r="C25" s="142" t="s">
        <v>98</v>
      </c>
      <c r="D25" s="142" t="s">
        <v>38</v>
      </c>
      <c r="E25" s="142" t="s">
        <v>91</v>
      </c>
      <c r="F25" s="142" t="str">
        <f>+VLOOKUP(A25,'Estado SCI'!$A$16:$I$59,9,0)</f>
        <v>Oportunidad de mejora</v>
      </c>
      <c r="G25" s="142">
        <f>+VLOOKUP(A25,'Estado SCI'!$A$16:$L$59,12,0)</f>
        <v>50.323</v>
      </c>
      <c r="H25" s="142">
        <f t="shared" si="0"/>
        <v>23</v>
      </c>
      <c r="I25" s="142" t="str">
        <f>+IF(VLOOKUP(A25,'Estado SCI'!$A$16:$G$59,7,0)="","",VLOOKUP(A25,'Estado SCI'!$A$16:$G$59,7,0))</f>
        <v>En proceso</v>
      </c>
      <c r="J25" s="143">
        <f t="shared" si="2"/>
        <v>0.5</v>
      </c>
      <c r="K25" s="144">
        <f t="shared" si="1"/>
        <v>0.8</v>
      </c>
    </row>
    <row r="26" spans="1:11" ht="15" customHeight="1" x14ac:dyDescent="0.35">
      <c r="A26" s="142" t="s">
        <v>196</v>
      </c>
      <c r="B26" s="142" t="s">
        <v>88</v>
      </c>
      <c r="C26" s="142" t="s">
        <v>98</v>
      </c>
      <c r="D26" s="142" t="s">
        <v>42</v>
      </c>
      <c r="E26" s="142" t="s">
        <v>92</v>
      </c>
      <c r="F26" s="142" t="str">
        <f>+VLOOKUP(A26,'Estado SCI'!$A$16:$I$59,9,0)</f>
        <v>Oportunidad de mejora</v>
      </c>
      <c r="G26" s="142">
        <f>+VLOOKUP(A26,'Estado SCI'!$A$16:$L$59,12,0)</f>
        <v>50.323999999999998</v>
      </c>
      <c r="H26" s="142">
        <f t="shared" si="0"/>
        <v>24</v>
      </c>
      <c r="I26" s="142" t="str">
        <f>+IF(VLOOKUP(A26,'Estado SCI'!$A$16:$G$59,7,0)="","",VLOOKUP(A26,'Estado SCI'!$A$16:$G$59,7,0))</f>
        <v>En proceso</v>
      </c>
      <c r="J26" s="143">
        <f t="shared" si="2"/>
        <v>0.5</v>
      </c>
      <c r="K26" s="144">
        <f t="shared" si="1"/>
        <v>0.8</v>
      </c>
    </row>
    <row r="27" spans="1:11" ht="15.75" customHeight="1" x14ac:dyDescent="0.35">
      <c r="A27" s="142" t="s">
        <v>197</v>
      </c>
      <c r="B27" s="142" t="s">
        <v>88</v>
      </c>
      <c r="C27" s="142" t="s">
        <v>98</v>
      </c>
      <c r="D27" s="142" t="s">
        <v>44</v>
      </c>
      <c r="E27" s="142" t="s">
        <v>93</v>
      </c>
      <c r="F27" s="142" t="str">
        <f>+VLOOKUP(A27,'Estado SCI'!$A$16:$I$59,9,0)</f>
        <v>Mantenimiento del control</v>
      </c>
      <c r="G27" s="142">
        <f>+VLOOKUP(A27,'Estado SCI'!$A$16:$L$59,12,0)</f>
        <v>60.325000000000003</v>
      </c>
      <c r="H27" s="142">
        <f t="shared" si="0"/>
        <v>26</v>
      </c>
      <c r="I27" s="142" t="str">
        <f>+IF(VLOOKUP(A27,'Estado SCI'!$A$16:$G$59,7,0)="","",VLOOKUP(A27,'Estado SCI'!$A$16:$G$59,7,0))</f>
        <v>Si</v>
      </c>
      <c r="J27" s="143">
        <f t="shared" si="2"/>
        <v>1</v>
      </c>
      <c r="K27" s="144">
        <f t="shared" si="1"/>
        <v>0.8</v>
      </c>
    </row>
    <row r="28" spans="1:11" ht="15" customHeight="1" x14ac:dyDescent="0.35">
      <c r="A28" s="142" t="s">
        <v>198</v>
      </c>
      <c r="B28" s="142" t="s">
        <v>88</v>
      </c>
      <c r="C28" s="142" t="s">
        <v>115</v>
      </c>
      <c r="D28" s="142" t="s">
        <v>47</v>
      </c>
      <c r="E28" s="142" t="s">
        <v>95</v>
      </c>
      <c r="F28" s="142" t="str">
        <f>+VLOOKUP(A28,'Estado SCI'!$A$16:$I$59,9,0)</f>
        <v>Mantenimiento del control</v>
      </c>
      <c r="G28" s="142">
        <f>+VLOOKUP(A28,'Estado SCI'!$A$16:$L$59,12,0)</f>
        <v>60.326000000000001</v>
      </c>
      <c r="H28" s="142">
        <f t="shared" si="0"/>
        <v>27</v>
      </c>
      <c r="I28" s="142" t="str">
        <f>+IF(VLOOKUP(A28,'Estado SCI'!$A$16:$G$59,7,0)="","",VLOOKUP(A28,'Estado SCI'!$A$16:$G$59,7,0))</f>
        <v>Si</v>
      </c>
      <c r="J28" s="143">
        <f t="shared" si="2"/>
        <v>1</v>
      </c>
      <c r="K28" s="144">
        <f t="shared" si="1"/>
        <v>0.8</v>
      </c>
    </row>
    <row r="29" spans="1:11" ht="15" customHeight="1" x14ac:dyDescent="0.35">
      <c r="A29" s="142" t="s">
        <v>199</v>
      </c>
      <c r="B29" s="142" t="str">
        <f>+VLOOKUP(A29,'Estado SCI'!$A$16:$C$59,3,0)</f>
        <v>INFORMACION Y COMUNICACIÓN</v>
      </c>
      <c r="C29" s="142" t="s">
        <v>115</v>
      </c>
      <c r="D29" s="142" t="s">
        <v>34</v>
      </c>
      <c r="E29" s="142" t="s">
        <v>99</v>
      </c>
      <c r="F29" s="142" t="str">
        <f>+VLOOKUP(A29,'Estado SCI'!$A$16:$I$59,9,0)</f>
        <v>Mantenimiento del control</v>
      </c>
      <c r="G29" s="142">
        <f>+VLOOKUP(A29,'Estado SCI'!$A$16:$L$59,12,0)</f>
        <v>80.412000000000006</v>
      </c>
      <c r="H29" s="142">
        <f t="shared" si="0"/>
        <v>31</v>
      </c>
      <c r="I29" s="142" t="str">
        <f>+IF(VLOOKUP(A29,'Estado SCI'!$A$16:$G$59,7,0)="","",VLOOKUP(A29,'Estado SCI'!$A$16:$G$59,7,0))</f>
        <v>Si</v>
      </c>
      <c r="J29" s="143">
        <f t="shared" si="2"/>
        <v>1</v>
      </c>
      <c r="K29" s="144">
        <f t="shared" si="1"/>
        <v>0.7142857142857143</v>
      </c>
    </row>
    <row r="30" spans="1:11" ht="15" customHeight="1" x14ac:dyDescent="0.35">
      <c r="A30" s="142" t="s">
        <v>200</v>
      </c>
      <c r="B30" s="142" t="s">
        <v>97</v>
      </c>
      <c r="C30" s="142" t="s">
        <v>115</v>
      </c>
      <c r="D30" s="142" t="s">
        <v>38</v>
      </c>
      <c r="E30" s="142" t="s">
        <v>101</v>
      </c>
      <c r="F30" s="142" t="str">
        <f>+VLOOKUP(A30,'Estado SCI'!$A$16:$I$59,9,0)</f>
        <v>Mantenimiento del control</v>
      </c>
      <c r="G30" s="142">
        <f>+VLOOKUP(A30,'Estado SCI'!$A$16:$L$59,12,0)</f>
        <v>80.412300000000002</v>
      </c>
      <c r="H30" s="142">
        <f t="shared" si="0"/>
        <v>32</v>
      </c>
      <c r="I30" s="142" t="str">
        <f>+IF(VLOOKUP(A30,'Estado SCI'!$A$16:$G$59,7,0)="","",VLOOKUP(A30,'Estado SCI'!$A$16:$G$59,7,0))</f>
        <v>Si</v>
      </c>
      <c r="J30" s="143">
        <f t="shared" si="2"/>
        <v>1</v>
      </c>
      <c r="K30" s="144">
        <f t="shared" si="1"/>
        <v>0.7142857142857143</v>
      </c>
    </row>
    <row r="31" spans="1:11" ht="15.75" customHeight="1" x14ac:dyDescent="0.35">
      <c r="A31" s="142" t="s">
        <v>201</v>
      </c>
      <c r="B31" s="142" t="s">
        <v>97</v>
      </c>
      <c r="C31" s="142" t="s">
        <v>115</v>
      </c>
      <c r="D31" s="142" t="s">
        <v>42</v>
      </c>
      <c r="E31" s="142" t="s">
        <v>103</v>
      </c>
      <c r="F31" s="142" t="str">
        <f>+VLOOKUP(A31,'Estado SCI'!$A$16:$I$59,9,0)</f>
        <v>Mantenimiento del control</v>
      </c>
      <c r="G31" s="142">
        <f>+VLOOKUP(A31,'Estado SCI'!$A$16:$L$59,12,0)</f>
        <v>80.41234</v>
      </c>
      <c r="H31" s="142">
        <f t="shared" si="0"/>
        <v>33</v>
      </c>
      <c r="I31" s="142" t="str">
        <f>+IF(VLOOKUP(A31,'Estado SCI'!$A$16:$G$59,7,0)="","",VLOOKUP(A31,'Estado SCI'!$A$16:$G$59,7,0))</f>
        <v>Si</v>
      </c>
      <c r="J31" s="143">
        <f t="shared" si="2"/>
        <v>1</v>
      </c>
      <c r="K31" s="144">
        <f t="shared" si="1"/>
        <v>0.7142857142857143</v>
      </c>
    </row>
    <row r="32" spans="1:11" x14ac:dyDescent="0.35">
      <c r="A32" s="142" t="s">
        <v>202</v>
      </c>
      <c r="B32" s="142" t="s">
        <v>97</v>
      </c>
      <c r="C32" s="142" t="s">
        <v>124</v>
      </c>
      <c r="D32" s="142" t="s">
        <v>44</v>
      </c>
      <c r="E32" s="142" t="s">
        <v>105</v>
      </c>
      <c r="F32" s="142" t="str">
        <f>+VLOOKUP(A32,'Estado SCI'!$A$16:$I$59,9,0)</f>
        <v>Deficiencia de control</v>
      </c>
      <c r="G32" s="142">
        <f>+VLOOKUP(A32,'Estado SCI'!$A$16:$L$59,12,0)</f>
        <v>60.412345000000002</v>
      </c>
      <c r="H32" s="142">
        <f t="shared" si="0"/>
        <v>28</v>
      </c>
      <c r="I32" s="142" t="str">
        <f>+IF(VLOOKUP(A32,'Estado SCI'!$A$16:$G$59,7,0)="","",VLOOKUP(A32,'Estado SCI'!$A$16:$G$59,7,0))</f>
        <v>No</v>
      </c>
      <c r="J32" s="143">
        <f t="shared" si="2"/>
        <v>0</v>
      </c>
      <c r="K32" s="144">
        <f t="shared" si="1"/>
        <v>0.7142857142857143</v>
      </c>
    </row>
    <row r="33" spans="1:11" x14ac:dyDescent="0.35">
      <c r="A33" s="142" t="s">
        <v>203</v>
      </c>
      <c r="B33" s="142" t="s">
        <v>97</v>
      </c>
      <c r="C33" s="142" t="s">
        <v>204</v>
      </c>
      <c r="D33" s="142" t="s">
        <v>47</v>
      </c>
      <c r="E33" s="142" t="s">
        <v>107</v>
      </c>
      <c r="F33" s="142" t="str">
        <f>+VLOOKUP(A33,'Estado SCI'!$A$16:$I$59,9,0)</f>
        <v>Oportunidad de mejora</v>
      </c>
      <c r="G33" s="142">
        <f>+VLOOKUP(A33,'Estado SCI'!$A$16:$L$59,12,0)</f>
        <v>70.412345599999995</v>
      </c>
      <c r="H33" s="142">
        <f t="shared" si="0"/>
        <v>29</v>
      </c>
      <c r="I33" s="142" t="str">
        <f>+IF(VLOOKUP(A33,'Estado SCI'!$A$16:$G$59,7,0)="","",VLOOKUP(A33,'Estado SCI'!$A$16:$G$59,7,0))</f>
        <v>En proceso</v>
      </c>
      <c r="J33" s="143">
        <f t="shared" si="2"/>
        <v>0.5</v>
      </c>
      <c r="K33" s="144">
        <f t="shared" si="1"/>
        <v>0.7142857142857143</v>
      </c>
    </row>
    <row r="34" spans="1:11" x14ac:dyDescent="0.35">
      <c r="A34" s="142" t="s">
        <v>205</v>
      </c>
      <c r="B34" s="142" t="s">
        <v>97</v>
      </c>
      <c r="C34" s="142" t="s">
        <v>204</v>
      </c>
      <c r="D34" s="142" t="s">
        <v>50</v>
      </c>
      <c r="E34" s="142" t="s">
        <v>109</v>
      </c>
      <c r="F34" s="142" t="str">
        <f>+VLOOKUP(A34,'Estado SCI'!$A$16:$I$59,9,0)</f>
        <v>Oportunidad de mejora</v>
      </c>
      <c r="G34" s="142">
        <f>+VLOOKUP(A34,'Estado SCI'!$A$16:$L$59,12,0)</f>
        <v>70.412345669999993</v>
      </c>
      <c r="H34" s="142">
        <f t="shared" si="0"/>
        <v>30</v>
      </c>
      <c r="I34" s="142" t="str">
        <f>+IF(VLOOKUP(A34,'Estado SCI'!$A$16:$G$59,7,0)="","",VLOOKUP(A34,'Estado SCI'!$A$16:$G$59,7,0))</f>
        <v>En proceso</v>
      </c>
      <c r="J34" s="143">
        <f t="shared" si="2"/>
        <v>0.5</v>
      </c>
      <c r="K34" s="144">
        <f t="shared" si="1"/>
        <v>0.7142857142857143</v>
      </c>
    </row>
    <row r="35" spans="1:11" x14ac:dyDescent="0.35">
      <c r="A35" s="142" t="s">
        <v>206</v>
      </c>
      <c r="B35" s="142" t="s">
        <v>97</v>
      </c>
      <c r="C35" s="142" t="s">
        <v>204</v>
      </c>
      <c r="D35" s="142" t="s">
        <v>53</v>
      </c>
      <c r="E35" s="142" t="s">
        <v>111</v>
      </c>
      <c r="F35" s="142" t="str">
        <f>+VLOOKUP(A35,'Estado SCI'!$A$16:$I$59,9,0)</f>
        <v>Mantenimiento del control</v>
      </c>
      <c r="G35" s="142">
        <f>+VLOOKUP(A35,'Estado SCI'!$A$16:$L$59,12,0)</f>
        <v>80.412345677999994</v>
      </c>
      <c r="H35" s="142">
        <f t="shared" si="0"/>
        <v>34</v>
      </c>
      <c r="I35" s="142" t="str">
        <f>+IF(VLOOKUP(A35,'Estado SCI'!$A$16:$G$59,7,0)="","",VLOOKUP(A35,'Estado SCI'!$A$16:$G$59,7,0))</f>
        <v>Si</v>
      </c>
      <c r="J35" s="143">
        <f t="shared" si="2"/>
        <v>1</v>
      </c>
      <c r="K35" s="144">
        <f t="shared" si="1"/>
        <v>0.7142857142857143</v>
      </c>
    </row>
    <row r="36" spans="1:11" x14ac:dyDescent="0.35">
      <c r="A36" s="142" t="s">
        <v>207</v>
      </c>
      <c r="B36" s="142" t="str">
        <f>+VLOOKUP(A36,'Estado SCI'!$A$16:$C$59,3,0)</f>
        <v>ACTIVIDADES DE MONITOREO</v>
      </c>
      <c r="C36" s="142" t="s">
        <v>204</v>
      </c>
      <c r="D36" s="142" t="s">
        <v>34</v>
      </c>
      <c r="E36" s="142" t="s">
        <v>116</v>
      </c>
      <c r="F36" s="142" t="str">
        <f>+VLOOKUP(A36,'Estado SCI'!$A$16:$I$59,9,0)</f>
        <v>Oportunidad de mejora</v>
      </c>
      <c r="G36" s="142">
        <f>+VLOOKUP(A36,'Estado SCI'!$A$16:$L$59,12,0)</f>
        <v>100.851</v>
      </c>
      <c r="H36" s="142">
        <f t="shared" si="0"/>
        <v>35</v>
      </c>
      <c r="I36" s="142" t="str">
        <f>+IF(VLOOKUP(A36,'Estado SCI'!$A$16:$G$59,7,0)="","",VLOOKUP(A36,'Estado SCI'!$A$16:$G$59,7,0))</f>
        <v>En proceso</v>
      </c>
      <c r="J36" s="143">
        <f t="shared" si="2"/>
        <v>0.5</v>
      </c>
      <c r="K36" s="144">
        <f t="shared" si="1"/>
        <v>0.75</v>
      </c>
    </row>
    <row r="37" spans="1:11" x14ac:dyDescent="0.35">
      <c r="A37" s="142" t="s">
        <v>208</v>
      </c>
      <c r="B37" s="142" t="s">
        <v>114</v>
      </c>
      <c r="C37" s="142" t="s">
        <v>204</v>
      </c>
      <c r="D37" s="142" t="s">
        <v>44</v>
      </c>
      <c r="E37" s="142" t="s">
        <v>118</v>
      </c>
      <c r="F37" s="142" t="str">
        <f>+VLOOKUP(A37,'Estado SCI'!$A$16:$I$59,9,0)</f>
        <v>Mantenimiento del control</v>
      </c>
      <c r="G37" s="142">
        <f>+VLOOKUP(A37,'Estado SCI'!$A$16:$L$59,12,0)</f>
        <v>120.85120000000001</v>
      </c>
      <c r="H37" s="142">
        <f t="shared" si="0"/>
        <v>40</v>
      </c>
      <c r="I37" s="142" t="str">
        <f>+IF(VLOOKUP(A37,'Estado SCI'!$A$16:$G$59,7,0)="","",VLOOKUP(A37,'Estado SCI'!$A$16:$G$59,7,0))</f>
        <v>Si</v>
      </c>
      <c r="J37" s="143">
        <f t="shared" si="2"/>
        <v>1</v>
      </c>
      <c r="K37" s="144">
        <f t="shared" si="1"/>
        <v>0.75</v>
      </c>
    </row>
    <row r="38" spans="1:11" x14ac:dyDescent="0.35">
      <c r="A38" s="142" t="s">
        <v>209</v>
      </c>
      <c r="B38" s="142" t="s">
        <v>114</v>
      </c>
      <c r="C38" s="142" t="s">
        <v>76</v>
      </c>
      <c r="D38" s="142" t="s">
        <v>50</v>
      </c>
      <c r="E38" s="142" t="s">
        <v>119</v>
      </c>
      <c r="F38" s="142" t="str">
        <f>+VLOOKUP(A38,'Estado SCI'!$A$16:$I$59,9,0)</f>
        <v>Mantenimiento del control</v>
      </c>
      <c r="G38" s="142">
        <f>+VLOOKUP(A38,'Estado SCI'!$A$16:$L$59,12,0)</f>
        <v>120.85123</v>
      </c>
      <c r="H38" s="142">
        <f t="shared" si="0"/>
        <v>41</v>
      </c>
      <c r="I38" s="142" t="str">
        <f>+IF(VLOOKUP(A38,'Estado SCI'!$A$16:$G$59,7,0)="","",VLOOKUP(A38,'Estado SCI'!$A$16:$G$59,7,0))</f>
        <v>Si</v>
      </c>
      <c r="J38" s="143">
        <f t="shared" si="2"/>
        <v>1</v>
      </c>
      <c r="K38" s="144">
        <f t="shared" si="1"/>
        <v>0.75</v>
      </c>
    </row>
    <row r="39" spans="1:11" x14ac:dyDescent="0.35">
      <c r="A39" s="142" t="s">
        <v>210</v>
      </c>
      <c r="B39" s="142" t="s">
        <v>114</v>
      </c>
      <c r="C39" s="142" t="s">
        <v>76</v>
      </c>
      <c r="D39" s="142" t="s">
        <v>53</v>
      </c>
      <c r="E39" s="142" t="s">
        <v>121</v>
      </c>
      <c r="F39" s="142" t="str">
        <f>+VLOOKUP(A39,'Estado SCI'!$A$16:$I$59,9,0)</f>
        <v>Mantenimiento del control</v>
      </c>
      <c r="G39" s="142">
        <f>+VLOOKUP(A39,'Estado SCI'!$A$16:$L$59,12,0)</f>
        <v>120.85123400000001</v>
      </c>
      <c r="H39" s="142">
        <f t="shared" si="0"/>
        <v>42</v>
      </c>
      <c r="I39" s="142" t="str">
        <f>+IF(VLOOKUP(A39,'Estado SCI'!$A$16:$G$59,7,0)="","",VLOOKUP(A39,'Estado SCI'!$A$16:$G$59,7,0))</f>
        <v>Si</v>
      </c>
      <c r="J39" s="143">
        <f t="shared" si="2"/>
        <v>1</v>
      </c>
      <c r="K39" s="144">
        <f t="shared" si="1"/>
        <v>0.75</v>
      </c>
    </row>
    <row r="40" spans="1:11" x14ac:dyDescent="0.35">
      <c r="A40" s="142" t="s">
        <v>211</v>
      </c>
      <c r="B40" s="142" t="s">
        <v>114</v>
      </c>
      <c r="C40" s="142" t="s">
        <v>76</v>
      </c>
      <c r="D40" s="142" t="s">
        <v>55</v>
      </c>
      <c r="E40" s="142" t="s">
        <v>125</v>
      </c>
      <c r="F40" s="142" t="str">
        <f>+VLOOKUP(A40,'Estado SCI'!$A$16:$I$59,9,0)</f>
        <v>Mantenimiento del control</v>
      </c>
      <c r="G40" s="142">
        <f>+VLOOKUP(A40,'Estado SCI'!$A$16:$L$59,12,0)</f>
        <v>120.8512345</v>
      </c>
      <c r="H40" s="142">
        <f t="shared" si="0"/>
        <v>43</v>
      </c>
      <c r="I40" s="142" t="str">
        <f>+IF(VLOOKUP(A40,'Estado SCI'!$A$16:$G$59,7,0)="","",VLOOKUP(A40,'Estado SCI'!$A$16:$G$59,7,0))</f>
        <v>Si</v>
      </c>
      <c r="J40" s="143">
        <f t="shared" si="2"/>
        <v>1</v>
      </c>
      <c r="K40" s="144">
        <f t="shared" si="1"/>
        <v>0.75</v>
      </c>
    </row>
    <row r="41" spans="1:11" x14ac:dyDescent="0.35">
      <c r="A41" s="142" t="s">
        <v>212</v>
      </c>
      <c r="B41" s="142" t="s">
        <v>114</v>
      </c>
      <c r="C41" s="142" t="s">
        <v>76</v>
      </c>
      <c r="D41" s="142" t="s">
        <v>34</v>
      </c>
      <c r="E41" s="142" t="s">
        <v>129</v>
      </c>
      <c r="F41" s="142" t="str">
        <f>+VLOOKUP(A41,'Estado SCI'!$A$16:$I$59,9,0)</f>
        <v>Oportunidad de mejora</v>
      </c>
      <c r="G41" s="142">
        <f>+VLOOKUP(A41,'Estado SCI'!$A$16:$L$59,12,0)</f>
        <v>100.85123455999999</v>
      </c>
      <c r="H41" s="142">
        <f t="shared" si="0"/>
        <v>36</v>
      </c>
      <c r="I41" s="142" t="str">
        <f>+IF(VLOOKUP(A41,'Estado SCI'!$A$16:$G$59,7,0)="","",VLOOKUP(A41,'Estado SCI'!$A$16:$G$59,7,0))</f>
        <v>En proceso</v>
      </c>
      <c r="J41" s="143">
        <f t="shared" si="2"/>
        <v>0.5</v>
      </c>
      <c r="K41" s="144">
        <f t="shared" si="1"/>
        <v>0.75</v>
      </c>
    </row>
    <row r="42" spans="1:11" x14ac:dyDescent="0.35">
      <c r="A42" s="142" t="s">
        <v>213</v>
      </c>
      <c r="B42" s="142" t="s">
        <v>114</v>
      </c>
      <c r="C42" s="142" t="s">
        <v>82</v>
      </c>
      <c r="D42" s="142" t="s">
        <v>38</v>
      </c>
      <c r="E42" s="142" t="s">
        <v>131</v>
      </c>
      <c r="F42" s="142" t="str">
        <f>+VLOOKUP(A42,'Estado SCI'!$A$16:$I$59,9,0)</f>
        <v>Oportunidad de mejora</v>
      </c>
      <c r="G42" s="142">
        <f>+VLOOKUP(A42,'Estado SCI'!$A$16:$L$59,12,0)</f>
        <v>100.85123456700001</v>
      </c>
      <c r="H42" s="142">
        <f t="shared" si="0"/>
        <v>37</v>
      </c>
      <c r="I42" s="142" t="str">
        <f>+IF(VLOOKUP(A42,'Estado SCI'!$A$16:$G$59,7,0)="","",VLOOKUP(A42,'Estado SCI'!$A$16:$G$59,7,0))</f>
        <v>En proceso</v>
      </c>
      <c r="J42" s="143">
        <f t="shared" si="2"/>
        <v>0.5</v>
      </c>
      <c r="K42" s="144">
        <f t="shared" si="1"/>
        <v>0.75</v>
      </c>
    </row>
    <row r="43" spans="1:11" x14ac:dyDescent="0.35">
      <c r="A43" s="142" t="s">
        <v>214</v>
      </c>
      <c r="B43" s="142" t="s">
        <v>114</v>
      </c>
      <c r="C43" s="142" t="s">
        <v>82</v>
      </c>
      <c r="D43" s="142" t="s">
        <v>42</v>
      </c>
      <c r="E43" s="142" t="s">
        <v>133</v>
      </c>
      <c r="F43" s="142" t="str">
        <f>+VLOOKUP(A43,'Estado SCI'!$A$16:$I$59,9,0)</f>
        <v>Oportunidad de mejora</v>
      </c>
      <c r="G43" s="142">
        <f>+VLOOKUP(A43,'Estado SCI'!$A$16:$L$59,12,0)</f>
        <v>100.85123456780001</v>
      </c>
      <c r="H43" s="142">
        <f t="shared" si="0"/>
        <v>38</v>
      </c>
      <c r="I43" s="142" t="str">
        <f>+IF(VLOOKUP(A43,'Estado SCI'!$A$16:$G$59,7,0)="","",VLOOKUP(A43,'Estado SCI'!$A$16:$G$59,7,0))</f>
        <v>En proceso</v>
      </c>
      <c r="J43" s="143">
        <f t="shared" si="2"/>
        <v>0.5</v>
      </c>
      <c r="K43" s="144">
        <f t="shared" si="1"/>
        <v>0.75</v>
      </c>
    </row>
    <row r="44" spans="1:11" x14ac:dyDescent="0.35">
      <c r="A44" s="142" t="s">
        <v>215</v>
      </c>
      <c r="B44" s="142" t="s">
        <v>114</v>
      </c>
      <c r="C44" s="142" t="s">
        <v>82</v>
      </c>
      <c r="D44" s="142" t="s">
        <v>44</v>
      </c>
      <c r="E44" s="142" t="s">
        <v>134</v>
      </c>
      <c r="F44" s="142" t="str">
        <f>+VLOOKUP(A44,'Estado SCI'!$A$16:$I$59,9,0)</f>
        <v>Oportunidad de mejora</v>
      </c>
      <c r="G44" s="142">
        <f>+VLOOKUP(A44,'Estado SCI'!$A$16:$L$59,12,0)</f>
        <v>100.85123456789</v>
      </c>
      <c r="H44" s="142">
        <f t="shared" si="0"/>
        <v>39</v>
      </c>
      <c r="I44" s="142" t="str">
        <f>+IF(VLOOKUP(A44,'Estado SCI'!$A$16:$G$59,7,0)="","",VLOOKUP(A44,'Estado SCI'!$A$16:$G$59,7,0))</f>
        <v>En proceso</v>
      </c>
      <c r="J44" s="143">
        <f t="shared" si="2"/>
        <v>0.5</v>
      </c>
      <c r="K44" s="144">
        <f t="shared" si="1"/>
        <v>0.75</v>
      </c>
    </row>
    <row r="45" spans="1:11" x14ac:dyDescent="0.35">
      <c r="A45" s="142" t="s">
        <v>216</v>
      </c>
      <c r="B45" s="142" t="s">
        <v>114</v>
      </c>
      <c r="C45" s="142" t="s">
        <v>82</v>
      </c>
      <c r="D45" s="142" t="s">
        <v>47</v>
      </c>
      <c r="E45" s="142" t="s">
        <v>135</v>
      </c>
      <c r="F45" s="142" t="str">
        <f>+VLOOKUP(A45,'Estado SCI'!$A$16:$I$59,9,0)</f>
        <v>Mantenimiento del control</v>
      </c>
      <c r="G45" s="142">
        <f>+VLOOKUP(A45,'Estado SCI'!$A$16:$L$59,12,0)</f>
        <v>120.851234567891</v>
      </c>
      <c r="H45" s="142">
        <f t="shared" si="0"/>
        <v>44</v>
      </c>
      <c r="I45" s="142" t="str">
        <f>+IF(VLOOKUP(A45,'Estado SCI'!$A$16:$G$59,7,0)="","",VLOOKUP(A45,'Estado SCI'!$A$16:$G$59,7,0))</f>
        <v>Si</v>
      </c>
      <c r="J45" s="143">
        <f t="shared" si="2"/>
        <v>1</v>
      </c>
      <c r="K45" s="144">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asus</cp:lastModifiedBy>
  <cp:revision/>
  <dcterms:created xsi:type="dcterms:W3CDTF">2020-04-28T13:58:09Z</dcterms:created>
  <dcterms:modified xsi:type="dcterms:W3CDTF">2023-01-30T19:39:39Z</dcterms:modified>
</cp:coreProperties>
</file>